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IZ\Desktop\bussiness modèle  Original\bussiness modèle\BP pour Energy pedia\Resultats capitalisation\"/>
    </mc:Choice>
  </mc:AlternateContent>
  <xr:revisionPtr revIDLastSave="0" documentId="13_ncr:1_{50B33503-4CA6-4585-94B5-078083FBCA02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Table rentabilité optimisé" sheetId="1" r:id="rId1"/>
    <sheet name="investissement réel" sheetId="7" r:id="rId2"/>
    <sheet name="Remboursement Mensualités" sheetId="2" state="hidden" r:id="rId3"/>
  </sheets>
  <externalReferences>
    <externalReference r:id="rId4"/>
  </externalReferences>
  <definedNames>
    <definedName name="_xlnm._FilterDatabase" localSheetId="0" hidden="1">'Table rentabilité optimisé'!$B$15:$Q$31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0" i="1" l="1"/>
  <c r="D189" i="1"/>
  <c r="C188" i="1"/>
  <c r="C186" i="1"/>
  <c r="D201" i="1"/>
  <c r="D200" i="1"/>
  <c r="F123" i="1"/>
  <c r="C122" i="1"/>
  <c r="E200" i="1" l="1"/>
  <c r="C162" i="1"/>
  <c r="F124" i="1"/>
  <c r="F122" i="1"/>
  <c r="J161" i="1" l="1"/>
  <c r="J157" i="1"/>
  <c r="F233" i="1"/>
  <c r="G272" i="1"/>
  <c r="F109" i="1"/>
  <c r="F225" i="1"/>
  <c r="F237" i="1" l="1"/>
  <c r="F235" i="1"/>
  <c r="F234" i="1"/>
  <c r="C259" i="1"/>
  <c r="D144" i="1"/>
  <c r="D143" i="1"/>
  <c r="D140" i="1"/>
  <c r="D139" i="1"/>
  <c r="D138" i="1"/>
  <c r="D137" i="1"/>
  <c r="C137" i="1"/>
  <c r="D129" i="1"/>
  <c r="D135" i="1"/>
  <c r="D149" i="1"/>
  <c r="D148" i="1"/>
  <c r="D147" i="1"/>
  <c r="D145" i="1"/>
  <c r="D142" i="1"/>
  <c r="D141" i="1"/>
  <c r="D134" i="1"/>
  <c r="D131" i="1"/>
  <c r="D130" i="1"/>
  <c r="C145" i="1"/>
  <c r="C144" i="1"/>
  <c r="C143" i="1"/>
  <c r="C142" i="1"/>
  <c r="C141" i="1"/>
  <c r="C140" i="1"/>
  <c r="C134" i="1"/>
  <c r="C133" i="1"/>
  <c r="C132" i="1"/>
  <c r="C131" i="1"/>
  <c r="C130" i="1"/>
  <c r="C129" i="1"/>
  <c r="C149" i="1"/>
  <c r="C148" i="1"/>
  <c r="C147" i="1"/>
  <c r="C146" i="1"/>
  <c r="F147" i="1" l="1"/>
  <c r="F149" i="1"/>
  <c r="G149" i="1" s="1"/>
  <c r="F143" i="1"/>
  <c r="G143" i="1" s="1"/>
  <c r="F148" i="1"/>
  <c r="G148" i="1" s="1"/>
  <c r="F140" i="1"/>
  <c r="G140" i="1" s="1"/>
  <c r="F142" i="1"/>
  <c r="G142" i="1" s="1"/>
  <c r="F145" i="1"/>
  <c r="G145" i="1" s="1"/>
  <c r="F134" i="1"/>
  <c r="G134" i="1" s="1"/>
  <c r="F131" i="1"/>
  <c r="G131" i="1" s="1"/>
  <c r="F144" i="1"/>
  <c r="G144" i="1" s="1"/>
  <c r="F141" i="1"/>
  <c r="G141" i="1" s="1"/>
  <c r="F129" i="1"/>
  <c r="F130" i="1"/>
  <c r="G130" i="1" s="1"/>
  <c r="G147" i="1" l="1"/>
  <c r="G129" i="1"/>
  <c r="E24" i="7" l="1"/>
  <c r="F24" i="7" s="1"/>
  <c r="E23" i="7"/>
  <c r="F23" i="7" s="1"/>
  <c r="E22" i="7"/>
  <c r="F22" i="7" s="1"/>
  <c r="E17" i="7"/>
  <c r="F17" i="7" s="1"/>
  <c r="E18" i="7"/>
  <c r="F18" i="7" s="1"/>
  <c r="E19" i="7"/>
  <c r="F19" i="7" s="1"/>
  <c r="E20" i="7"/>
  <c r="F20" i="7" s="1"/>
  <c r="E21" i="7"/>
  <c r="F21" i="7" s="1"/>
  <c r="E10" i="7"/>
  <c r="F10" i="7" s="1"/>
  <c r="E8" i="7"/>
  <c r="F8" i="7" s="1"/>
  <c r="E13" i="7"/>
  <c r="F13" i="7" s="1"/>
  <c r="E5" i="7"/>
  <c r="F5" i="7" s="1"/>
  <c r="E6" i="7"/>
  <c r="F6" i="7" s="1"/>
  <c r="E7" i="7"/>
  <c r="F7" i="7" s="1"/>
  <c r="E9" i="7"/>
  <c r="F9" i="7" s="1"/>
  <c r="E11" i="7"/>
  <c r="F11" i="7" s="1"/>
  <c r="E12" i="7"/>
  <c r="F12" i="7" s="1"/>
  <c r="E14" i="7"/>
  <c r="F14" i="7" s="1"/>
  <c r="E15" i="7"/>
  <c r="F15" i="7" s="1"/>
  <c r="E16" i="7"/>
  <c r="F16" i="7" s="1"/>
  <c r="E4" i="7"/>
  <c r="B129" i="1"/>
  <c r="F239" i="1"/>
  <c r="G260" i="1"/>
  <c r="F238" i="1"/>
  <c r="G261" i="1" s="1"/>
  <c r="E25" i="7" l="1"/>
  <c r="F4" i="7"/>
  <c r="G267" i="1"/>
  <c r="F240" i="1"/>
  <c r="G273" i="1" s="1"/>
  <c r="G266" i="1"/>
  <c r="G277" i="1" l="1"/>
  <c r="G278" i="1" s="1"/>
  <c r="G280" i="1"/>
  <c r="F125" i="1"/>
  <c r="E201" i="1" s="1"/>
  <c r="C161" i="1"/>
  <c r="J158" i="1"/>
  <c r="C157" i="1"/>
  <c r="O60" i="1"/>
  <c r="M17" i="1"/>
  <c r="G25" i="1"/>
  <c r="M19" i="1"/>
  <c r="M27" i="1"/>
  <c r="M21" i="1"/>
  <c r="M33" i="1"/>
  <c r="L17" i="1"/>
  <c r="L19" i="1"/>
  <c r="L27" i="1"/>
  <c r="L21" i="1"/>
  <c r="L33" i="1"/>
  <c r="J159" i="1"/>
  <c r="J160" i="1"/>
  <c r="C119" i="1"/>
  <c r="C120" i="1" s="1"/>
  <c r="F121" i="1" s="1"/>
  <c r="M30" i="1"/>
  <c r="L30" i="1"/>
  <c r="J49" i="1"/>
  <c r="M29" i="1"/>
  <c r="L29" i="1"/>
  <c r="M23" i="1"/>
  <c r="M24" i="1"/>
  <c r="L23" i="1"/>
  <c r="L24" i="1"/>
  <c r="L28" i="1"/>
  <c r="M28" i="1"/>
  <c r="M26" i="1"/>
  <c r="L26" i="1"/>
  <c r="B132" i="1"/>
  <c r="B131" i="1"/>
  <c r="B130" i="1"/>
  <c r="B4" i="2"/>
  <c r="A14" i="2" s="1"/>
  <c r="B2" i="2"/>
  <c r="F183" i="1"/>
  <c r="F184" i="1"/>
  <c r="F185" i="1"/>
  <c r="F186" i="1"/>
  <c r="F187" i="1"/>
  <c r="F188" i="1"/>
  <c r="F189" i="1"/>
  <c r="F190" i="1"/>
  <c r="F191" i="1"/>
  <c r="F192" i="1"/>
  <c r="D124" i="1"/>
  <c r="H25" i="1" l="1"/>
  <c r="D136" i="1" s="1"/>
  <c r="F99" i="1"/>
  <c r="D132" i="1"/>
  <c r="F132" i="1" s="1"/>
  <c r="D133" i="1"/>
  <c r="F133" i="1" s="1"/>
  <c r="G133" i="1" s="1"/>
  <c r="J162" i="1"/>
  <c r="C4" i="2"/>
  <c r="A15" i="2" s="1"/>
  <c r="A16" i="2" s="1"/>
  <c r="A17" i="2" s="1"/>
  <c r="C177" i="1"/>
  <c r="F119" i="1"/>
  <c r="M25" i="1"/>
  <c r="L203" i="1"/>
  <c r="G14" i="2"/>
  <c r="F14" i="2"/>
  <c r="F120" i="1"/>
  <c r="L25" i="1"/>
  <c r="F101" i="1" l="1"/>
  <c r="F104" i="1" s="1"/>
  <c r="J52" i="1" s="1"/>
  <c r="C50" i="1" s="1"/>
  <c r="F110" i="1" s="1"/>
  <c r="G132" i="1"/>
  <c r="F100" i="1"/>
  <c r="F231" i="1" s="1"/>
  <c r="F232" i="1" s="1"/>
  <c r="J163" i="1"/>
  <c r="C175" i="1" s="1"/>
  <c r="G15" i="2"/>
  <c r="F15" i="2" s="1"/>
  <c r="C176" i="1"/>
  <c r="A18" i="2"/>
  <c r="F201" i="1" l="1"/>
  <c r="G201" i="1" s="1"/>
  <c r="H201" i="1" s="1"/>
  <c r="I201" i="1" s="1"/>
  <c r="J201" i="1" s="1"/>
  <c r="K201" i="1" s="1"/>
  <c r="L201" i="1" s="1"/>
  <c r="C135" i="1"/>
  <c r="D34" i="1" s="1"/>
  <c r="L66" i="1"/>
  <c r="L67" i="1" s="1"/>
  <c r="L64" i="1"/>
  <c r="L65" i="1" s="1"/>
  <c r="I52" i="1"/>
  <c r="G16" i="2"/>
  <c r="F16" i="2" s="1"/>
  <c r="C178" i="1"/>
  <c r="D184" i="1" s="1"/>
  <c r="A19" i="2"/>
  <c r="K64" i="1"/>
  <c r="F105" i="1" l="1"/>
  <c r="K66" i="1"/>
  <c r="F135" i="1"/>
  <c r="G17" i="2"/>
  <c r="F17" i="2" s="1"/>
  <c r="F102" i="1"/>
  <c r="K67" i="1"/>
  <c r="J66" i="1"/>
  <c r="K65" i="1"/>
  <c r="J64" i="1"/>
  <c r="F200" i="1"/>
  <c r="A20" i="2"/>
  <c r="G135" i="1" l="1"/>
  <c r="C138" i="1"/>
  <c r="F138" i="1" s="1"/>
  <c r="G138" i="1" s="1"/>
  <c r="G18" i="2"/>
  <c r="F18" i="2" s="1"/>
  <c r="J67" i="1"/>
  <c r="M67" i="1" s="1"/>
  <c r="M66" i="1"/>
  <c r="G200" i="1"/>
  <c r="A21" i="2"/>
  <c r="J65" i="1"/>
  <c r="M65" i="1" s="1"/>
  <c r="M64" i="1"/>
  <c r="G19" i="2" l="1"/>
  <c r="G20" i="2" s="1"/>
  <c r="G21" i="2" s="1"/>
  <c r="A22" i="2"/>
  <c r="F88" i="1"/>
  <c r="H200" i="1"/>
  <c r="F19" i="2" l="1"/>
  <c r="F20" i="2" s="1"/>
  <c r="F21" i="2" s="1"/>
  <c r="A23" i="2"/>
  <c r="G22" i="2"/>
  <c r="I200" i="1"/>
  <c r="F22" i="2" l="1"/>
  <c r="J200" i="1"/>
  <c r="A24" i="2"/>
  <c r="G23" i="2"/>
  <c r="F23" i="2" l="1"/>
  <c r="K200" i="1"/>
  <c r="A25" i="2"/>
  <c r="G24" i="2"/>
  <c r="F24" i="2" l="1"/>
  <c r="L200" i="1"/>
  <c r="A26" i="2"/>
  <c r="G25" i="2"/>
  <c r="F25" i="2" l="1"/>
  <c r="A27" i="2"/>
  <c r="G26" i="2"/>
  <c r="F26" i="2" l="1"/>
  <c r="G27" i="2"/>
  <c r="A28" i="2"/>
  <c r="F27" i="2" l="1"/>
  <c r="A29" i="2"/>
  <c r="G28" i="2"/>
  <c r="F28" i="2" l="1"/>
  <c r="A30" i="2"/>
  <c r="G29" i="2"/>
  <c r="F29" i="2" l="1"/>
  <c r="A31" i="2"/>
  <c r="G30" i="2"/>
  <c r="F30" i="2" l="1"/>
  <c r="A32" i="2"/>
  <c r="G31" i="2"/>
  <c r="F31" i="2" l="1"/>
  <c r="A33" i="2"/>
  <c r="G32" i="2"/>
  <c r="F32" i="2" l="1"/>
  <c r="G33" i="2"/>
  <c r="A34" i="2"/>
  <c r="F33" i="2" l="1"/>
  <c r="A35" i="2"/>
  <c r="G34" i="2"/>
  <c r="F34" i="2" l="1"/>
  <c r="A36" i="2"/>
  <c r="G35" i="2"/>
  <c r="F35" i="2" l="1"/>
  <c r="A37" i="2"/>
  <c r="G36" i="2"/>
  <c r="F36" i="2" l="1"/>
  <c r="G37" i="2"/>
  <c r="A38" i="2"/>
  <c r="F37" i="2" l="1"/>
  <c r="A39" i="2"/>
  <c r="G38" i="2"/>
  <c r="F38" i="2" l="1"/>
  <c r="G39" i="2"/>
  <c r="A40" i="2"/>
  <c r="F39" i="2" l="1"/>
  <c r="A41" i="2"/>
  <c r="G40" i="2"/>
  <c r="F40" i="2" l="1"/>
  <c r="A42" i="2"/>
  <c r="G41" i="2"/>
  <c r="F41" i="2" l="1"/>
  <c r="A43" i="2"/>
  <c r="G42" i="2"/>
  <c r="F42" i="2" l="1"/>
  <c r="A44" i="2"/>
  <c r="G43" i="2"/>
  <c r="F43" i="2" l="1"/>
  <c r="A45" i="2"/>
  <c r="G44" i="2"/>
  <c r="F44" i="2" l="1"/>
  <c r="G45" i="2"/>
  <c r="F45" i="2" s="1"/>
  <c r="A46" i="2"/>
  <c r="A47" i="2" l="1"/>
  <c r="G46" i="2"/>
  <c r="F46" i="2" s="1"/>
  <c r="A48" i="2" l="1"/>
  <c r="G47" i="2"/>
  <c r="F47" i="2" s="1"/>
  <c r="A49" i="2" l="1"/>
  <c r="G48" i="2"/>
  <c r="F48" i="2" s="1"/>
  <c r="A50" i="2" l="1"/>
  <c r="G49" i="2"/>
  <c r="F49" i="2" s="1"/>
  <c r="A51" i="2" l="1"/>
  <c r="G50" i="2"/>
  <c r="F50" i="2" s="1"/>
  <c r="G51" i="2" l="1"/>
  <c r="F51" i="2" s="1"/>
  <c r="A52" i="2"/>
  <c r="A53" i="2" l="1"/>
  <c r="G52" i="2"/>
  <c r="F52" i="2" s="1"/>
  <c r="G53" i="2" l="1"/>
  <c r="F53" i="2" s="1"/>
  <c r="A54" i="2"/>
  <c r="A55" i="2" l="1"/>
  <c r="G54" i="2"/>
  <c r="F54" i="2" s="1"/>
  <c r="A56" i="2" l="1"/>
  <c r="G55" i="2"/>
  <c r="F55" i="2" s="1"/>
  <c r="A57" i="2" l="1"/>
  <c r="G56" i="2"/>
  <c r="F56" i="2" s="1"/>
  <c r="A58" i="2" l="1"/>
  <c r="G57" i="2"/>
  <c r="F57" i="2" s="1"/>
  <c r="A59" i="2" l="1"/>
  <c r="G58" i="2"/>
  <c r="F58" i="2" s="1"/>
  <c r="G59" i="2" l="1"/>
  <c r="F59" i="2" s="1"/>
  <c r="A60" i="2"/>
  <c r="A61" i="2" l="1"/>
  <c r="G60" i="2"/>
  <c r="F60" i="2" s="1"/>
  <c r="A62" i="2" l="1"/>
  <c r="G61" i="2"/>
  <c r="F61" i="2" s="1"/>
  <c r="A63" i="2" l="1"/>
  <c r="G62" i="2"/>
  <c r="F62" i="2" s="1"/>
  <c r="A64" i="2" l="1"/>
  <c r="G63" i="2"/>
  <c r="F63" i="2" s="1"/>
  <c r="A65" i="2" l="1"/>
  <c r="G64" i="2"/>
  <c r="F64" i="2" s="1"/>
  <c r="A66" i="2" l="1"/>
  <c r="G65" i="2"/>
  <c r="F65" i="2" s="1"/>
  <c r="A67" i="2" l="1"/>
  <c r="G66" i="2"/>
  <c r="F66" i="2" s="1"/>
  <c r="A68" i="2" l="1"/>
  <c r="G67" i="2"/>
  <c r="F67" i="2" s="1"/>
  <c r="A69" i="2" l="1"/>
  <c r="G68" i="2"/>
  <c r="F68" i="2" s="1"/>
  <c r="G69" i="2" l="1"/>
  <c r="F69" i="2" s="1"/>
  <c r="A70" i="2"/>
  <c r="A71" i="2" l="1"/>
  <c r="G70" i="2"/>
  <c r="F70" i="2" s="1"/>
  <c r="G71" i="2" l="1"/>
  <c r="F71" i="2" s="1"/>
  <c r="A72" i="2"/>
  <c r="A73" i="2" l="1"/>
  <c r="G72" i="2"/>
  <c r="F72" i="2" s="1"/>
  <c r="A74" i="2" l="1"/>
  <c r="G73" i="2"/>
  <c r="F73" i="2" s="1"/>
  <c r="A75" i="2" l="1"/>
  <c r="G74" i="2"/>
  <c r="F74" i="2" s="1"/>
  <c r="A76" i="2" l="1"/>
  <c r="G75" i="2"/>
  <c r="F75" i="2" s="1"/>
  <c r="A77" i="2" l="1"/>
  <c r="G76" i="2"/>
  <c r="F76" i="2" s="1"/>
  <c r="A78" i="2" l="1"/>
  <c r="G77" i="2"/>
  <c r="F77" i="2" s="1"/>
  <c r="A79" i="2" l="1"/>
  <c r="G78" i="2"/>
  <c r="F78" i="2" s="1"/>
  <c r="A80" i="2" l="1"/>
  <c r="G79" i="2"/>
  <c r="F79" i="2" s="1"/>
  <c r="A81" i="2" l="1"/>
  <c r="G80" i="2"/>
  <c r="F80" i="2" s="1"/>
  <c r="G81" i="2" l="1"/>
  <c r="F81" i="2" s="1"/>
  <c r="A82" i="2"/>
  <c r="A83" i="2" l="1"/>
  <c r="G82" i="2"/>
  <c r="F82" i="2" s="1"/>
  <c r="A84" i="2" l="1"/>
  <c r="G83" i="2"/>
  <c r="F83" i="2" s="1"/>
  <c r="A85" i="2" l="1"/>
  <c r="G84" i="2"/>
  <c r="F84" i="2" s="1"/>
  <c r="G85" i="2" l="1"/>
  <c r="F85" i="2" s="1"/>
  <c r="A86" i="2"/>
  <c r="A87" i="2" l="1"/>
  <c r="G86" i="2"/>
  <c r="F86" i="2" s="1"/>
  <c r="A88" i="2" l="1"/>
  <c r="G87" i="2"/>
  <c r="F87" i="2" s="1"/>
  <c r="A89" i="2" l="1"/>
  <c r="G88" i="2"/>
  <c r="F88" i="2" s="1"/>
  <c r="A90" i="2" l="1"/>
  <c r="G89" i="2"/>
  <c r="F89" i="2" s="1"/>
  <c r="A91" i="2" l="1"/>
  <c r="G90" i="2"/>
  <c r="F90" i="2" s="1"/>
  <c r="A92" i="2" l="1"/>
  <c r="G91" i="2"/>
  <c r="F91" i="2" s="1"/>
  <c r="A93" i="2" l="1"/>
  <c r="G92" i="2"/>
  <c r="F92" i="2" s="1"/>
  <c r="G93" i="2" l="1"/>
  <c r="F93" i="2" s="1"/>
  <c r="A94" i="2"/>
  <c r="A95" i="2" l="1"/>
  <c r="G94" i="2"/>
  <c r="F94" i="2" s="1"/>
  <c r="A96" i="2" l="1"/>
  <c r="G95" i="2"/>
  <c r="F95" i="2" s="1"/>
  <c r="A97" i="2" l="1"/>
  <c r="G96" i="2"/>
  <c r="F96" i="2" s="1"/>
  <c r="G97" i="2" l="1"/>
  <c r="F97" i="2" s="1"/>
  <c r="A98" i="2"/>
  <c r="G98" i="2" l="1"/>
  <c r="F98" i="2" s="1"/>
  <c r="A99" i="2"/>
  <c r="A100" i="2" l="1"/>
  <c r="G99" i="2"/>
  <c r="F99" i="2" s="1"/>
  <c r="A101" i="2" l="1"/>
  <c r="G100" i="2"/>
  <c r="F100" i="2" s="1"/>
  <c r="A102" i="2" l="1"/>
  <c r="G101" i="2"/>
  <c r="F101" i="2" s="1"/>
  <c r="A103" i="2" l="1"/>
  <c r="G102" i="2"/>
  <c r="F102" i="2" s="1"/>
  <c r="A104" i="2" l="1"/>
  <c r="G103" i="2"/>
  <c r="F103" i="2" s="1"/>
  <c r="A105" i="2" l="1"/>
  <c r="G104" i="2"/>
  <c r="F104" i="2" s="1"/>
  <c r="G105" i="2" l="1"/>
  <c r="F105" i="2" s="1"/>
  <c r="A106" i="2"/>
  <c r="A107" i="2" l="1"/>
  <c r="G106" i="2"/>
  <c r="F106" i="2" s="1"/>
  <c r="A108" i="2" l="1"/>
  <c r="G107" i="2"/>
  <c r="F107" i="2" s="1"/>
  <c r="A109" i="2" l="1"/>
  <c r="G108" i="2"/>
  <c r="F108" i="2" s="1"/>
  <c r="A110" i="2" l="1"/>
  <c r="G109" i="2"/>
  <c r="F109" i="2"/>
  <c r="A111" i="2" l="1"/>
  <c r="E110" i="2"/>
  <c r="C110" i="2"/>
  <c r="B110" i="2" s="1"/>
  <c r="D110" i="2"/>
  <c r="G110" i="2"/>
  <c r="F110" i="2" s="1"/>
  <c r="A112" i="2" l="1"/>
  <c r="G111" i="2"/>
  <c r="D111" i="2"/>
  <c r="E111" i="2"/>
  <c r="C111" i="2"/>
  <c r="B111" i="2" s="1"/>
  <c r="F111" i="2"/>
  <c r="G112" i="2" l="1"/>
  <c r="F112" i="2" s="1"/>
  <c r="E112" i="2"/>
  <c r="C112" i="2"/>
  <c r="B112" i="2" s="1"/>
  <c r="A113" i="2"/>
  <c r="D112" i="2"/>
  <c r="A114" i="2" l="1"/>
  <c r="D113" i="2"/>
  <c r="C113" i="2"/>
  <c r="B113" i="2" s="1"/>
  <c r="E113" i="2"/>
  <c r="G113" i="2"/>
  <c r="F113" i="2" s="1"/>
  <c r="A115" i="2" l="1"/>
  <c r="F114" i="2"/>
  <c r="G114" i="2"/>
  <c r="D114" i="2"/>
  <c r="E114" i="2"/>
  <c r="C114" i="2"/>
  <c r="B114" i="2" s="1"/>
  <c r="A116" i="2" l="1"/>
  <c r="D115" i="2"/>
  <c r="G115" i="2"/>
  <c r="F115" i="2" s="1"/>
  <c r="E115" i="2"/>
  <c r="C115" i="2"/>
  <c r="B115" i="2" s="1"/>
  <c r="A117" i="2" l="1"/>
  <c r="D116" i="2"/>
  <c r="G116" i="2"/>
  <c r="F116" i="2" s="1"/>
  <c r="E116" i="2"/>
  <c r="C116" i="2"/>
  <c r="B116" i="2" s="1"/>
  <c r="A118" i="2" l="1"/>
  <c r="D117" i="2"/>
  <c r="G117" i="2"/>
  <c r="E117" i="2"/>
  <c r="C117" i="2"/>
  <c r="B117" i="2" s="1"/>
  <c r="F117" i="2"/>
  <c r="A119" i="2" l="1"/>
  <c r="E118" i="2"/>
  <c r="C118" i="2"/>
  <c r="B118" i="2" s="1"/>
  <c r="D118" i="2"/>
  <c r="G118" i="2"/>
  <c r="F118" i="2" s="1"/>
  <c r="A120" i="2" l="1"/>
  <c r="D119" i="2"/>
  <c r="G119" i="2"/>
  <c r="F119" i="2" s="1"/>
  <c r="C119" i="2"/>
  <c r="B119" i="2" s="1"/>
  <c r="E119" i="2"/>
  <c r="A121" i="2" l="1"/>
  <c r="F120" i="2"/>
  <c r="G120" i="2"/>
  <c r="E120" i="2"/>
  <c r="C120" i="2"/>
  <c r="B120" i="2" s="1"/>
  <c r="D120" i="2"/>
  <c r="A122" i="2" l="1"/>
  <c r="D121" i="2"/>
  <c r="C121" i="2"/>
  <c r="B121" i="2" s="1"/>
  <c r="G121" i="2"/>
  <c r="F121" i="2" s="1"/>
  <c r="E121" i="2"/>
  <c r="E122" i="2" l="1"/>
  <c r="A123" i="2"/>
  <c r="G122" i="2"/>
  <c r="F122" i="2" s="1"/>
  <c r="D122" i="2"/>
  <c r="C122" i="2"/>
  <c r="B122" i="2" s="1"/>
  <c r="A124" i="2" l="1"/>
  <c r="D123" i="2"/>
  <c r="G123" i="2"/>
  <c r="F123" i="2" s="1"/>
  <c r="E123" i="2"/>
  <c r="C123" i="2"/>
  <c r="B123" i="2" s="1"/>
  <c r="A125" i="2" l="1"/>
  <c r="C124" i="2"/>
  <c r="B124" i="2" s="1"/>
  <c r="D124" i="2"/>
  <c r="E124" i="2"/>
  <c r="G124" i="2"/>
  <c r="F124" i="2" s="1"/>
  <c r="A126" i="2" l="1"/>
  <c r="C125" i="2"/>
  <c r="B125" i="2" s="1"/>
  <c r="G125" i="2"/>
  <c r="F125" i="2" s="1"/>
  <c r="E125" i="2"/>
  <c r="D125" i="2"/>
  <c r="A127" i="2" l="1"/>
  <c r="D126" i="2"/>
  <c r="G126" i="2"/>
  <c r="F126" i="2" s="1"/>
  <c r="E126" i="2"/>
  <c r="C126" i="2"/>
  <c r="B126" i="2" s="1"/>
  <c r="A128" i="2" l="1"/>
  <c r="G127" i="2"/>
  <c r="C127" i="2"/>
  <c r="B127" i="2" s="1"/>
  <c r="D127" i="2"/>
  <c r="F127" i="2"/>
  <c r="E127" i="2"/>
  <c r="A129" i="2" l="1"/>
  <c r="D128" i="2"/>
  <c r="G128" i="2"/>
  <c r="F128" i="2" s="1"/>
  <c r="C128" i="2"/>
  <c r="B128" i="2" s="1"/>
  <c r="E128" i="2"/>
  <c r="D129" i="2" l="1"/>
  <c r="A130" i="2"/>
  <c r="G129" i="2"/>
  <c r="F129" i="2" s="1"/>
  <c r="E129" i="2"/>
  <c r="C129" i="2"/>
  <c r="B129" i="2" s="1"/>
  <c r="E130" i="2" l="1"/>
  <c r="C130" i="2"/>
  <c r="B130" i="2" s="1"/>
  <c r="A131" i="2"/>
  <c r="D130" i="2"/>
  <c r="G130" i="2"/>
  <c r="F130" i="2" s="1"/>
  <c r="A132" i="2" l="1"/>
  <c r="D131" i="2"/>
  <c r="G131" i="2"/>
  <c r="F131" i="2" s="1"/>
  <c r="E131" i="2"/>
  <c r="C131" i="2"/>
  <c r="B131" i="2" s="1"/>
  <c r="A133" i="2" l="1"/>
  <c r="F132" i="2"/>
  <c r="G132" i="2"/>
  <c r="E132" i="2"/>
  <c r="C132" i="2"/>
  <c r="B132" i="2" s="1"/>
  <c r="D132" i="2"/>
  <c r="C133" i="2" l="1"/>
  <c r="B133" i="2" s="1"/>
  <c r="E133" i="2"/>
  <c r="G133" i="2"/>
  <c r="F133" i="2" s="1"/>
  <c r="D133" i="2"/>
  <c r="H191" i="1" l="1"/>
  <c r="H192" i="1"/>
  <c r="I192" i="1"/>
  <c r="J191" i="1"/>
  <c r="J192" i="1"/>
  <c r="G192" i="1"/>
  <c r="I191" i="1"/>
  <c r="G191" i="1"/>
  <c r="F108" i="1" l="1"/>
  <c r="F106" i="1"/>
  <c r="F107" i="1" s="1"/>
  <c r="I44" i="1" s="1"/>
  <c r="D146" i="1" s="1"/>
  <c r="F146" i="1" s="1"/>
  <c r="G146" i="1" l="1"/>
  <c r="C136" i="1"/>
  <c r="F136" i="1" l="1"/>
  <c r="C139" i="1"/>
  <c r="F139" i="1" s="1"/>
  <c r="G139" i="1" s="1"/>
  <c r="F137" i="1"/>
  <c r="F150" i="1" l="1"/>
  <c r="D183" i="1" s="1"/>
  <c r="G136" i="1"/>
  <c r="K122" i="1"/>
  <c r="G137" i="1"/>
  <c r="K121" i="1" s="1"/>
  <c r="C201" i="1" l="1"/>
  <c r="N215" i="1"/>
  <c r="G150" i="1"/>
  <c r="K120" i="1"/>
  <c r="D202" i="1" l="1"/>
  <c r="F229" i="1"/>
  <c r="D185" i="1"/>
  <c r="L204" i="1"/>
  <c r="D188" i="1" l="1"/>
  <c r="D186" i="1"/>
  <c r="M201" i="1"/>
  <c r="C209" i="1"/>
  <c r="M202" i="1"/>
  <c r="L205" i="1"/>
  <c r="L206" i="1" s="1"/>
  <c r="B3" i="2" l="1"/>
  <c r="C200" i="1"/>
  <c r="C83" i="2"/>
  <c r="C25" i="2"/>
  <c r="E94" i="2"/>
  <c r="C81" i="2"/>
  <c r="D34" i="2"/>
  <c r="C64" i="2"/>
  <c r="C40" i="2"/>
  <c r="E98" i="2" l="1"/>
  <c r="D98" i="2"/>
  <c r="C98" i="2"/>
  <c r="D99" i="2"/>
  <c r="E99" i="2"/>
  <c r="C99" i="2"/>
  <c r="B99" i="2" s="1"/>
  <c r="D100" i="2"/>
  <c r="E100" i="2"/>
  <c r="C100" i="2"/>
  <c r="E101" i="2"/>
  <c r="C101" i="2"/>
  <c r="D101" i="2"/>
  <c r="E102" i="2"/>
  <c r="C102" i="2"/>
  <c r="D102" i="2"/>
  <c r="C103" i="2"/>
  <c r="B103" i="2" s="1"/>
  <c r="D103" i="2"/>
  <c r="E103" i="2"/>
  <c r="D104" i="2"/>
  <c r="E104" i="2"/>
  <c r="C104" i="2"/>
  <c r="B104" i="2" s="1"/>
  <c r="D105" i="2"/>
  <c r="E105" i="2"/>
  <c r="C105" i="2"/>
  <c r="B105" i="2" s="1"/>
  <c r="D106" i="2"/>
  <c r="E106" i="2"/>
  <c r="C106" i="2"/>
  <c r="E107" i="2"/>
  <c r="D107" i="2"/>
  <c r="C107" i="2"/>
  <c r="D108" i="2"/>
  <c r="E108" i="2"/>
  <c r="C108" i="2"/>
  <c r="E109" i="2"/>
  <c r="D109" i="2"/>
  <c r="C109" i="2"/>
  <c r="C84" i="2"/>
  <c r="D78" i="2"/>
  <c r="C96" i="2"/>
  <c r="D94" i="2"/>
  <c r="E93" i="2"/>
  <c r="D74" i="2"/>
  <c r="D91" i="2"/>
  <c r="C88" i="2"/>
  <c r="C93" i="2"/>
  <c r="D76" i="2"/>
  <c r="C79" i="2"/>
  <c r="D95" i="2"/>
  <c r="D75" i="2"/>
  <c r="C76" i="2"/>
  <c r="D79" i="2"/>
  <c r="E75" i="2"/>
  <c r="C91" i="2"/>
  <c r="E84" i="2"/>
  <c r="D81" i="2"/>
  <c r="B81" i="2" s="1"/>
  <c r="C85" i="2"/>
  <c r="E77" i="2"/>
  <c r="C78" i="2"/>
  <c r="D83" i="2"/>
  <c r="B83" i="2" s="1"/>
  <c r="C94" i="2"/>
  <c r="E92" i="2"/>
  <c r="D87" i="2"/>
  <c r="C77" i="2"/>
  <c r="D89" i="2"/>
  <c r="C74" i="2"/>
  <c r="D90" i="2"/>
  <c r="E76" i="2"/>
  <c r="E81" i="2"/>
  <c r="D77" i="2"/>
  <c r="C75" i="2"/>
  <c r="E83" i="2"/>
  <c r="E90" i="2"/>
  <c r="D88" i="2"/>
  <c r="C89" i="2"/>
  <c r="E79" i="2"/>
  <c r="D84" i="2"/>
  <c r="E78" i="2"/>
  <c r="D80" i="2"/>
  <c r="D97" i="2"/>
  <c r="C80" i="2"/>
  <c r="E74" i="2"/>
  <c r="E88" i="2"/>
  <c r="E97" i="2"/>
  <c r="E85" i="2"/>
  <c r="C92" i="2"/>
  <c r="E87" i="2"/>
  <c r="E96" i="2"/>
  <c r="D82" i="2"/>
  <c r="C87" i="2"/>
  <c r="E86" i="2"/>
  <c r="E95" i="2"/>
  <c r="D96" i="2"/>
  <c r="E89" i="2"/>
  <c r="C86" i="2"/>
  <c r="D86" i="2"/>
  <c r="D85" i="2"/>
  <c r="E80" i="2"/>
  <c r="C97" i="2"/>
  <c r="D92" i="2"/>
  <c r="C90" i="2"/>
  <c r="D93" i="2"/>
  <c r="E82" i="2"/>
  <c r="C82" i="2"/>
  <c r="C95" i="2"/>
  <c r="B95" i="2" s="1"/>
  <c r="E91" i="2"/>
  <c r="C22" i="2"/>
  <c r="D60" i="2"/>
  <c r="D39" i="2"/>
  <c r="C53" i="2"/>
  <c r="E49" i="2"/>
  <c r="D73" i="2"/>
  <c r="D52" i="2"/>
  <c r="E59" i="2"/>
  <c r="C38" i="2"/>
  <c r="D37" i="2"/>
  <c r="C49" i="2"/>
  <c r="B9" i="2"/>
  <c r="C51" i="2"/>
  <c r="E44" i="2"/>
  <c r="D44" i="2"/>
  <c r="D67" i="2"/>
  <c r="E32" i="2"/>
  <c r="E14" i="2"/>
  <c r="E55" i="2"/>
  <c r="D35" i="2"/>
  <c r="D65" i="2"/>
  <c r="E28" i="2"/>
  <c r="D47" i="2"/>
  <c r="D55" i="2"/>
  <c r="E40" i="2"/>
  <c r="C47" i="2"/>
  <c r="D70" i="2"/>
  <c r="D15" i="2"/>
  <c r="D50" i="2"/>
  <c r="C71" i="2"/>
  <c r="E63" i="2"/>
  <c r="D25" i="2"/>
  <c r="B25" i="2" s="1"/>
  <c r="D17" i="2"/>
  <c r="C46" i="2"/>
  <c r="C69" i="2"/>
  <c r="D69" i="2"/>
  <c r="C55" i="2"/>
  <c r="D40" i="2"/>
  <c r="B40" i="2" s="1"/>
  <c r="D56" i="2"/>
  <c r="D49" i="2"/>
  <c r="D72" i="2"/>
  <c r="C29" i="2"/>
  <c r="D41" i="2"/>
  <c r="C65" i="2"/>
  <c r="E25" i="2"/>
  <c r="D18" i="2"/>
  <c r="E19" i="2"/>
  <c r="E23" i="2"/>
  <c r="D57" i="2"/>
  <c r="E66" i="2"/>
  <c r="D32" i="2"/>
  <c r="E29" i="2"/>
  <c r="D45" i="2"/>
  <c r="E56" i="2"/>
  <c r="D21" i="2"/>
  <c r="E67" i="2"/>
  <c r="D14" i="2"/>
  <c r="D46" i="2"/>
  <c r="C70" i="2"/>
  <c r="D28" i="2"/>
  <c r="E41" i="2"/>
  <c r="C18" i="2"/>
  <c r="B18" i="2" s="1"/>
  <c r="C72" i="2"/>
  <c r="E70" i="2"/>
  <c r="C26" i="2"/>
  <c r="D61" i="2"/>
  <c r="E18" i="2"/>
  <c r="E34" i="2"/>
  <c r="C20" i="2"/>
  <c r="C14" i="2"/>
  <c r="C30" i="2"/>
  <c r="C73" i="2"/>
  <c r="C27" i="2"/>
  <c r="E62" i="2"/>
  <c r="E47" i="2"/>
  <c r="E21" i="2"/>
  <c r="C58" i="2"/>
  <c r="C43" i="2"/>
  <c r="E64" i="2"/>
  <c r="E35" i="2"/>
  <c r="E72" i="2"/>
  <c r="E38" i="2"/>
  <c r="C42" i="2"/>
  <c r="D20" i="2"/>
  <c r="C24" i="2"/>
  <c r="C41" i="2"/>
  <c r="D29" i="2"/>
  <c r="E27" i="2"/>
  <c r="C39" i="2"/>
  <c r="E51" i="2"/>
  <c r="D66" i="2"/>
  <c r="D42" i="2"/>
  <c r="D63" i="2"/>
  <c r="C44" i="2"/>
  <c r="C36" i="2"/>
  <c r="D16" i="2"/>
  <c r="E37" i="2"/>
  <c r="E22" i="2"/>
  <c r="C23" i="2"/>
  <c r="E50" i="2"/>
  <c r="E53" i="2"/>
  <c r="D26" i="2"/>
  <c r="E42" i="2"/>
  <c r="D38" i="2"/>
  <c r="D36" i="2"/>
  <c r="C50" i="2"/>
  <c r="E39" i="2"/>
  <c r="C67" i="2"/>
  <c r="E69" i="2"/>
  <c r="C57" i="2"/>
  <c r="C16" i="2"/>
  <c r="D22" i="2"/>
  <c r="D64" i="2"/>
  <c r="B64" i="2" s="1"/>
  <c r="E17" i="2"/>
  <c r="D24" i="2"/>
  <c r="D51" i="2"/>
  <c r="C35" i="2"/>
  <c r="C19" i="2"/>
  <c r="D31" i="2"/>
  <c r="D53" i="2"/>
  <c r="C37" i="2"/>
  <c r="B5" i="2"/>
  <c r="E20" i="2"/>
  <c r="E36" i="2"/>
  <c r="C62" i="2"/>
  <c r="E15" i="2"/>
  <c r="C68" i="2"/>
  <c r="E24" i="2"/>
  <c r="E68" i="2"/>
  <c r="E45" i="2"/>
  <c r="D19" i="2"/>
  <c r="C15" i="2"/>
  <c r="B15" i="2" s="1"/>
  <c r="D30" i="2"/>
  <c r="D33" i="2"/>
  <c r="D62" i="2"/>
  <c r="C63" i="2"/>
  <c r="E16" i="2"/>
  <c r="E43" i="2"/>
  <c r="E73" i="2"/>
  <c r="E54" i="2"/>
  <c r="C56" i="2"/>
  <c r="D23" i="2"/>
  <c r="C54" i="2"/>
  <c r="E33" i="2"/>
  <c r="C59" i="2"/>
  <c r="D71" i="2"/>
  <c r="C61" i="2"/>
  <c r="C52" i="2"/>
  <c r="E71" i="2"/>
  <c r="E48" i="2"/>
  <c r="C60" i="2"/>
  <c r="C66" i="2"/>
  <c r="D54" i="2"/>
  <c r="C31" i="2"/>
  <c r="E30" i="2"/>
  <c r="C17" i="2"/>
  <c r="E61" i="2"/>
  <c r="D27" i="2"/>
  <c r="D43" i="2"/>
  <c r="C21" i="2"/>
  <c r="C48" i="2"/>
  <c r="E65" i="2"/>
  <c r="E57" i="2"/>
  <c r="D58" i="2"/>
  <c r="E31" i="2"/>
  <c r="E52" i="2"/>
  <c r="C33" i="2"/>
  <c r="E58" i="2"/>
  <c r="C34" i="2"/>
  <c r="B34" i="2" s="1"/>
  <c r="D48" i="2"/>
  <c r="C45" i="2"/>
  <c r="E26" i="2"/>
  <c r="C32" i="2"/>
  <c r="E46" i="2"/>
  <c r="E60" i="2"/>
  <c r="C28" i="2"/>
  <c r="B8" i="2"/>
  <c r="D68" i="2"/>
  <c r="D59" i="2"/>
  <c r="C207" i="1"/>
  <c r="M200" i="1"/>
  <c r="B97" i="2" l="1"/>
  <c r="B78" i="2"/>
  <c r="B76" i="2"/>
  <c r="B87" i="2"/>
  <c r="B101" i="2"/>
  <c r="B108" i="2"/>
  <c r="B100" i="2"/>
  <c r="B107" i="2"/>
  <c r="B102" i="2"/>
  <c r="B94" i="2"/>
  <c r="B109" i="2"/>
  <c r="B106" i="2"/>
  <c r="B98" i="2"/>
  <c r="G190" i="1"/>
  <c r="B89" i="2"/>
  <c r="H190" i="1"/>
  <c r="I190" i="1"/>
  <c r="B21" i="2"/>
  <c r="B44" i="2"/>
  <c r="B52" i="2"/>
  <c r="B56" i="2"/>
  <c r="B70" i="2"/>
  <c r="B28" i="2"/>
  <c r="B35" i="2"/>
  <c r="B80" i="2"/>
  <c r="B75" i="2"/>
  <c r="B37" i="2"/>
  <c r="I189" i="1"/>
  <c r="B60" i="2"/>
  <c r="B57" i="2"/>
  <c r="B82" i="2"/>
  <c r="B31" i="2"/>
  <c r="B39" i="2"/>
  <c r="B66" i="2"/>
  <c r="B41" i="2"/>
  <c r="H189" i="1"/>
  <c r="B79" i="2"/>
  <c r="B92" i="2"/>
  <c r="B91" i="2"/>
  <c r="B32" i="2"/>
  <c r="B17" i="2"/>
  <c r="H188" i="1"/>
  <c r="I188" i="1"/>
  <c r="B74" i="2"/>
  <c r="G188" i="1"/>
  <c r="B85" i="2"/>
  <c r="B77" i="2"/>
  <c r="B96" i="2"/>
  <c r="B86" i="2"/>
  <c r="G189" i="1"/>
  <c r="B93" i="2"/>
  <c r="B84" i="2"/>
  <c r="B90" i="2"/>
  <c r="B88" i="2"/>
  <c r="B62" i="2"/>
  <c r="B24" i="2"/>
  <c r="B58" i="2"/>
  <c r="B20" i="2"/>
  <c r="B55" i="2"/>
  <c r="H186" i="1"/>
  <c r="B51" i="2"/>
  <c r="B67" i="2"/>
  <c r="B47" i="2"/>
  <c r="B73" i="2"/>
  <c r="B33" i="2"/>
  <c r="H184" i="1"/>
  <c r="B61" i="2"/>
  <c r="G185" i="1"/>
  <c r="I184" i="1"/>
  <c r="I186" i="1"/>
  <c r="B65" i="2"/>
  <c r="B53" i="2"/>
  <c r="B45" i="2"/>
  <c r="B23" i="2"/>
  <c r="B42" i="2"/>
  <c r="B69" i="2"/>
  <c r="B49" i="2"/>
  <c r="B50" i="2"/>
  <c r="G186" i="1"/>
  <c r="I185" i="1"/>
  <c r="I187" i="1"/>
  <c r="B29" i="2"/>
  <c r="B46" i="2"/>
  <c r="I183" i="1"/>
  <c r="B48" i="2"/>
  <c r="B59" i="2"/>
  <c r="B27" i="2"/>
  <c r="G184" i="1"/>
  <c r="B26" i="2"/>
  <c r="H183" i="1"/>
  <c r="B38" i="2"/>
  <c r="B22" i="2"/>
  <c r="H185" i="1"/>
  <c r="B63" i="2"/>
  <c r="B54" i="2"/>
  <c r="H187" i="1"/>
  <c r="B68" i="2"/>
  <c r="B16" i="2"/>
  <c r="B36" i="2"/>
  <c r="B30" i="2"/>
  <c r="B72" i="2"/>
  <c r="B19" i="2"/>
  <c r="B43" i="2"/>
  <c r="B14" i="2"/>
  <c r="G183" i="1"/>
  <c r="B71" i="2"/>
  <c r="G187" i="1"/>
  <c r="C265" i="1"/>
  <c r="J190" i="1" l="1"/>
  <c r="K203" i="1" s="1"/>
  <c r="K204" i="1" s="1"/>
  <c r="K205" i="1" s="1"/>
  <c r="K206" i="1" s="1"/>
  <c r="J189" i="1"/>
  <c r="J203" i="1" s="1"/>
  <c r="J204" i="1" s="1"/>
  <c r="J205" i="1" s="1"/>
  <c r="J206" i="1" s="1"/>
  <c r="J188" i="1"/>
  <c r="I203" i="1" s="1"/>
  <c r="I204" i="1" s="1"/>
  <c r="I205" i="1" s="1"/>
  <c r="I206" i="1" s="1"/>
  <c r="J187" i="1"/>
  <c r="H203" i="1" s="1"/>
  <c r="H204" i="1" s="1"/>
  <c r="H205" i="1" s="1"/>
  <c r="H206" i="1" s="1"/>
  <c r="H193" i="1"/>
  <c r="F228" i="1" s="1"/>
  <c r="C262" i="1" s="1"/>
  <c r="G193" i="1"/>
  <c r="J183" i="1"/>
  <c r="J184" i="1"/>
  <c r="E203" i="1" s="1"/>
  <c r="E204" i="1" s="1"/>
  <c r="E205" i="1" s="1"/>
  <c r="E206" i="1" s="1"/>
  <c r="E208" i="1" s="1"/>
  <c r="P215" i="1" s="1"/>
  <c r="J186" i="1"/>
  <c r="G203" i="1" s="1"/>
  <c r="G204" i="1" s="1"/>
  <c r="G205" i="1" s="1"/>
  <c r="G206" i="1" s="1"/>
  <c r="G208" i="1" s="1"/>
  <c r="R215" i="1" s="1"/>
  <c r="I193" i="1"/>
  <c r="J185" i="1"/>
  <c r="F203" i="1" s="1"/>
  <c r="F204" i="1" s="1"/>
  <c r="F205" i="1" s="1"/>
  <c r="F206" i="1" s="1"/>
  <c r="J208" i="1" l="1"/>
  <c r="U215" i="1" s="1"/>
  <c r="L208" i="1"/>
  <c r="W215" i="1" s="1"/>
  <c r="K208" i="1"/>
  <c r="V215" i="1" s="1"/>
  <c r="F208" i="1"/>
  <c r="Q215" i="1" s="1"/>
  <c r="H208" i="1"/>
  <c r="S215" i="1" s="1"/>
  <c r="I208" i="1"/>
  <c r="T215" i="1" s="1"/>
  <c r="F243" i="1"/>
  <c r="D203" i="1"/>
  <c r="J193" i="1"/>
  <c r="F242" i="1"/>
  <c r="F246" i="1" s="1"/>
  <c r="G274" i="1" s="1"/>
  <c r="G275" i="1" s="1"/>
  <c r="C285" i="1"/>
  <c r="F244" i="1" l="1"/>
  <c r="G262" i="1" s="1"/>
  <c r="G263" i="1" s="1"/>
  <c r="F245" i="1"/>
  <c r="G268" i="1" s="1"/>
  <c r="G269" i="1" s="1"/>
  <c r="C218" i="1"/>
  <c r="D204" i="1"/>
  <c r="M203" i="1"/>
  <c r="G285" i="1" l="1"/>
  <c r="D205" i="1"/>
  <c r="M205" i="1" s="1"/>
  <c r="M204" i="1"/>
  <c r="D206" i="1" l="1"/>
  <c r="D208" i="1" s="1"/>
  <c r="M206" i="1" l="1"/>
  <c r="D207" i="1"/>
  <c r="E207" i="1" s="1"/>
  <c r="F207" i="1" s="1"/>
  <c r="G207" i="1" s="1"/>
  <c r="H207" i="1" s="1"/>
  <c r="I207" i="1" s="1"/>
  <c r="J207" i="1" s="1"/>
  <c r="K207" i="1" s="1"/>
  <c r="L207" i="1" s="1"/>
  <c r="N214" i="1"/>
  <c r="C214" i="1"/>
  <c r="D209" i="1"/>
  <c r="E209" i="1" s="1"/>
  <c r="F209" i="1" s="1"/>
  <c r="G209" i="1" s="1"/>
  <c r="H209" i="1" s="1"/>
  <c r="I209" i="1" s="1"/>
  <c r="J209" i="1" s="1"/>
  <c r="K209" i="1" s="1"/>
  <c r="L209" i="1" s="1"/>
  <c r="O215" i="1"/>
  <c r="C215" i="1" l="1"/>
  <c r="C216" i="1"/>
  <c r="N216" i="1" s="1"/>
  <c r="D216" i="1" s="1"/>
  <c r="N217" i="1"/>
  <c r="P217" i="1"/>
  <c r="O217" i="1" s="1"/>
  <c r="C217" i="1" l="1"/>
  <c r="D217" i="1" s="1"/>
  <c r="C187" i="1" l="1"/>
  <c r="D18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Lara</author>
    <author>UserLA6101</author>
  </authors>
  <commentList>
    <comment ref="D70" authorId="0" shapeId="0" xr:uid="{00000000-0006-0000-0000-000001000000}">
      <text>
        <r>
          <rPr>
            <b/>
            <sz val="11"/>
            <color indexed="81"/>
            <rFont val="Tahoma"/>
            <family val="2"/>
          </rPr>
          <t>Jules:</t>
        </r>
        <r>
          <rPr>
            <sz val="11"/>
            <color indexed="81"/>
            <rFont val="Tahoma"/>
            <family val="2"/>
          </rPr>
          <t xml:space="preserve">
&lt; 20KG - 100.000
&lt; 40KG - 70.000
&lt; 60KG - 50.000
&lt; 300KG - 20.000
&lt; 2000KG - 13.000</t>
        </r>
      </text>
    </comment>
    <comment ref="D71" authorId="0" shapeId="0" xr:uid="{00000000-0006-0000-0000-000002000000}">
      <text>
        <r>
          <rPr>
            <b/>
            <sz val="11"/>
            <color indexed="81"/>
            <rFont val="Tahoma"/>
            <family val="2"/>
          </rPr>
          <t>Jules:</t>
        </r>
        <r>
          <rPr>
            <sz val="11"/>
            <color indexed="81"/>
            <rFont val="Tahoma"/>
            <family val="2"/>
          </rPr>
          <t xml:space="preserve">
&lt; 50 KG - 2.000.000
&lt; 2000 KG - 7.000.000</t>
        </r>
      </text>
    </comment>
    <comment ref="D73" authorId="0" shapeId="0" xr:uid="{00000000-0006-0000-0000-000003000000}">
      <text>
        <r>
          <rPr>
            <b/>
            <sz val="11"/>
            <color indexed="81"/>
            <rFont val="Tahoma"/>
            <family val="2"/>
          </rPr>
          <t>Jules:</t>
        </r>
        <r>
          <rPr>
            <sz val="11"/>
            <color indexed="81"/>
            <rFont val="Tahoma"/>
            <family val="2"/>
          </rPr>
          <t xml:space="preserve">
6000 coût ligne
1000 coûts annexes dont transport
1250 TVA</t>
        </r>
      </text>
    </comment>
    <comment ref="G285" authorId="1" shapeId="0" xr:uid="{3EF696FA-9B4A-456D-AC40-41DFD9B285DD}">
      <text>
        <r>
          <rPr>
            <b/>
            <sz val="9"/>
            <color indexed="81"/>
            <rFont val="Tahoma"/>
            <family val="2"/>
          </rPr>
          <t>UserLA6101:</t>
        </r>
        <r>
          <rPr>
            <sz val="9"/>
            <color indexed="81"/>
            <rFont val="Tahoma"/>
            <family val="2"/>
          </rPr>
          <t xml:space="preserve">
Valeur mensuel ou journaliere (egal somme des cout journalier)</t>
        </r>
      </text>
    </comment>
  </commentList>
</comments>
</file>

<file path=xl/sharedStrings.xml><?xml version="1.0" encoding="utf-8"?>
<sst xmlns="http://schemas.openxmlformats.org/spreadsheetml/2006/main" count="556" uniqueCount="345">
  <si>
    <t>Cases à vérifier</t>
  </si>
  <si>
    <t>Cases à compléter</t>
  </si>
  <si>
    <t>Cases à laisser vides</t>
  </si>
  <si>
    <t>Cases calculées</t>
  </si>
  <si>
    <t>Puissance (kW)</t>
  </si>
  <si>
    <t>Prix (FCFA)</t>
  </si>
  <si>
    <t>Nominale</t>
  </si>
  <si>
    <t>jours à l'année</t>
  </si>
  <si>
    <t>Calcul de charges variables et fixes</t>
  </si>
  <si>
    <t>CHARGES VARIABLES D'EXPLOITATION</t>
  </si>
  <si>
    <t>Désignation</t>
  </si>
  <si>
    <t>Quantité</t>
  </si>
  <si>
    <t>Prix unitaire</t>
  </si>
  <si>
    <t>Montant total/an</t>
  </si>
  <si>
    <t>évolution annuelle charges d'exploitation</t>
  </si>
  <si>
    <t xml:space="preserve"> TOTAL (F CFA) </t>
  </si>
  <si>
    <t>INVESTISSEMENTS</t>
  </si>
  <si>
    <t xml:space="preserve">Désignation </t>
  </si>
  <si>
    <t>Prix unitaire TTC</t>
  </si>
  <si>
    <t>Montant Total TTC</t>
  </si>
  <si>
    <t>Durée de vie (an)</t>
  </si>
  <si>
    <t>Amortissement annuel</t>
  </si>
  <si>
    <t>Support aluminium</t>
  </si>
  <si>
    <t xml:space="preserve">Parafoudre </t>
  </si>
  <si>
    <t>Calcul des recettes d'exploitation</t>
  </si>
  <si>
    <t>RECETTES D'EXPLOITATION</t>
  </si>
  <si>
    <t>Recettes annuelles</t>
  </si>
  <si>
    <t>évolution annuelle recettes d'exploitation</t>
  </si>
  <si>
    <t>TOTAL (F CFA)</t>
  </si>
  <si>
    <t>Ressources et Financement des investissements</t>
  </si>
  <si>
    <t>BFR (Besoin en fonds de roulement)</t>
  </si>
  <si>
    <t>Type de tiers</t>
  </si>
  <si>
    <t>Client/fournisseur</t>
  </si>
  <si>
    <t>Délais de paiement / stocks (jours)</t>
  </si>
  <si>
    <t>Part des achats/ventes</t>
  </si>
  <si>
    <t>founisseur</t>
  </si>
  <si>
    <t>client</t>
  </si>
  <si>
    <t>Créances clients</t>
  </si>
  <si>
    <t>Crédit fournisseurs</t>
  </si>
  <si>
    <t>Impact Stocks consommable</t>
  </si>
  <si>
    <t>Impact Stocks produits finis</t>
  </si>
  <si>
    <t>F CFA</t>
  </si>
  <si>
    <t>SCHÉMA DE FINANCEMENT</t>
  </si>
  <si>
    <t>ECHEANCIER DE REMBOURSEMENT</t>
  </si>
  <si>
    <t>Part</t>
  </si>
  <si>
    <t>Montant total TTC</t>
  </si>
  <si>
    <t>Année</t>
  </si>
  <si>
    <t>Capital</t>
  </si>
  <si>
    <t>Intérêts</t>
  </si>
  <si>
    <t>Reste</t>
  </si>
  <si>
    <t>Annuité</t>
  </si>
  <si>
    <t>Investissements</t>
  </si>
  <si>
    <t xml:space="preserve">Besoin en fonds de roulement </t>
  </si>
  <si>
    <t xml:space="preserve">COÛT TOTAL (F CFA) </t>
  </si>
  <si>
    <t>Apport personnel</t>
  </si>
  <si>
    <t>Subvention</t>
  </si>
  <si>
    <t>Emprunt</t>
  </si>
  <si>
    <t>Taux de l'emprunt</t>
  </si>
  <si>
    <t>Remboursement de l'emprunt (années)</t>
  </si>
  <si>
    <t>TOTAL</t>
  </si>
  <si>
    <t>RESULTAT BRUT D'EXPLOITATION (EBE)</t>
  </si>
  <si>
    <t xml:space="preserve">Recettes  </t>
  </si>
  <si>
    <t xml:space="preserve">Dépenses </t>
  </si>
  <si>
    <t xml:space="preserve">Amortissements </t>
  </si>
  <si>
    <t>Remboursement emprunt</t>
  </si>
  <si>
    <t xml:space="preserve">Bénéfice avant impôts </t>
  </si>
  <si>
    <t xml:space="preserve">Impôts sur le bénéfice </t>
  </si>
  <si>
    <t xml:space="preserve">Bénéfice après impôts </t>
  </si>
  <si>
    <t>Indicateurs économiques</t>
  </si>
  <si>
    <t>VAN</t>
  </si>
  <si>
    <t>TRI</t>
  </si>
  <si>
    <t>IPI</t>
  </si>
  <si>
    <t>DCRI</t>
  </si>
  <si>
    <t>Remboursement de prêt</t>
  </si>
  <si>
    <t>Taux annuel</t>
  </si>
  <si>
    <t>Capital emprunté</t>
  </si>
  <si>
    <t>Durée du prêt (en année)</t>
  </si>
  <si>
    <t>Mensualité à régler</t>
  </si>
  <si>
    <t>Formule mensualité</t>
  </si>
  <si>
    <t>=-VPM((1+B2)^(1/12)-1;B4*12;B3)</t>
  </si>
  <si>
    <t>Décomposition de la mensualité</t>
  </si>
  <si>
    <t>Remboursement du principal</t>
  </si>
  <si>
    <t>Formule principal</t>
  </si>
  <si>
    <t>=-PRINCPER((1+B2)^(1/12)-1;1;B4*12;B3)</t>
  </si>
  <si>
    <t>Remboursement des interêts</t>
  </si>
  <si>
    <t>Formule intérêt</t>
  </si>
  <si>
    <t>=-INTPER((1+B2)^(1/12)-1;1;B4*12;B3)</t>
  </si>
  <si>
    <t>Dans les formules ci-dessous Taux de période = TP =  (1+$B$2)^(1/12)-1</t>
  </si>
  <si>
    <t>Périodes</t>
  </si>
  <si>
    <t>Mensualité</t>
  </si>
  <si>
    <t>Reste (ou résiduel)</t>
  </si>
  <si>
    <t>Années</t>
  </si>
  <si>
    <t>Désignation / Durée (années)</t>
  </si>
  <si>
    <t>Taux d'actualisation</t>
  </si>
  <si>
    <t>Durée VAN (ans)</t>
  </si>
  <si>
    <t>calcul VAN</t>
  </si>
  <si>
    <t>FCFA</t>
  </si>
  <si>
    <t>Installation</t>
  </si>
  <si>
    <t>Fonctionnement optimal</t>
  </si>
  <si>
    <t>Décortiqueuse électrique</t>
  </si>
  <si>
    <t>Employés nécessaires pour fonctionnement</t>
  </si>
  <si>
    <t>personnes</t>
  </si>
  <si>
    <t>Kilos</t>
  </si>
  <si>
    <t>Cash Flows cumulés</t>
  </si>
  <si>
    <t>Cash Flows</t>
  </si>
  <si>
    <t>Trésorerie</t>
  </si>
  <si>
    <t>ETUDE RENTABILITE SOLUTIONS USAGE PRODUCTIF</t>
  </si>
  <si>
    <t>BFR</t>
  </si>
  <si>
    <t>Modèle 1</t>
  </si>
  <si>
    <t>Modèle 2</t>
  </si>
  <si>
    <t>Usage Productif</t>
  </si>
  <si>
    <t>Caractéristiques techniques du Projet</t>
  </si>
  <si>
    <t>Alimentation Solaire</t>
  </si>
  <si>
    <t>Coefficient déperdition</t>
  </si>
  <si>
    <t>Tension (V)</t>
  </si>
  <si>
    <t>Batteries</t>
  </si>
  <si>
    <t>Capacité (Ampères/h)</t>
  </si>
  <si>
    <t>Tension nécessaire batteries</t>
  </si>
  <si>
    <t>Choix de dimensionnement du projet</t>
  </si>
  <si>
    <t>Choix de l'alimentation solaire</t>
  </si>
  <si>
    <t>Choix du système de stokage</t>
  </si>
  <si>
    <t>Choix du cas pour dimensionnement solaire</t>
  </si>
  <si>
    <t>best case</t>
  </si>
  <si>
    <t>worst case</t>
  </si>
  <si>
    <t>x</t>
  </si>
  <si>
    <t>average</t>
  </si>
  <si>
    <t>Puissance crête projet (KW)</t>
  </si>
  <si>
    <t>Capacité totale système stockage (Ampères/heure)</t>
  </si>
  <si>
    <t>Nb de panneaux solaires</t>
  </si>
  <si>
    <t>Nb régulateurs</t>
  </si>
  <si>
    <t>Coefficient déperdition (k)</t>
  </si>
  <si>
    <t xml:space="preserve">Month </t>
  </si>
  <si>
    <t>H(15)*</t>
  </si>
  <si>
    <t xml:space="preserve">Jan </t>
  </si>
  <si>
    <t xml:space="preserve">Feb </t>
  </si>
  <si>
    <t xml:space="preserve">Mar </t>
  </si>
  <si>
    <t xml:space="preserve">Apr </t>
  </si>
  <si>
    <t xml:space="preserve">May </t>
  </si>
  <si>
    <t xml:space="preserve">Jun </t>
  </si>
  <si>
    <t xml:space="preserve">Jul </t>
  </si>
  <si>
    <t xml:space="preserve">Aug </t>
  </si>
  <si>
    <t xml:space="preserve">Sep </t>
  </si>
  <si>
    <t xml:space="preserve">Oct </t>
  </si>
  <si>
    <t xml:space="preserve">Nov </t>
  </si>
  <si>
    <t xml:space="preserve">Dec </t>
  </si>
  <si>
    <t>Year</t>
  </si>
  <si>
    <t>BlueSolar SPM-300-24 Monocristallin</t>
  </si>
  <si>
    <t>Vitron Energy Phoenix</t>
  </si>
  <si>
    <t>kVa</t>
  </si>
  <si>
    <t>Profondeur décharge batteries</t>
  </si>
  <si>
    <t>24V</t>
  </si>
  <si>
    <t>Victron Energy Gel</t>
  </si>
  <si>
    <t>Victron Energy Gel 2</t>
  </si>
  <si>
    <t>-</t>
  </si>
  <si>
    <t>Irradiation Solaire</t>
  </si>
  <si>
    <t>12V/24V/48V</t>
  </si>
  <si>
    <t>Total</t>
  </si>
  <si>
    <t>Absorbée</t>
  </si>
  <si>
    <t>Autonomie nécessaires au projet (jours)</t>
  </si>
  <si>
    <t>Energie à produire (kWh/j)</t>
  </si>
  <si>
    <t>Energie consommée (KWh/j)</t>
  </si>
  <si>
    <t>Durée de vie*</t>
  </si>
  <si>
    <t>* en conditions optimales, annoncées constructeur</t>
  </si>
  <si>
    <t>Nb de batteries en série</t>
  </si>
  <si>
    <t>unités</t>
  </si>
  <si>
    <t>Nb de batteries en dérivation</t>
  </si>
  <si>
    <t>Nb de batteries total</t>
  </si>
  <si>
    <t>Durée de vie attendue de la batterie</t>
  </si>
  <si>
    <t>ans</t>
  </si>
  <si>
    <t>DSCR</t>
  </si>
  <si>
    <t>KW</t>
  </si>
  <si>
    <t>KWh</t>
  </si>
  <si>
    <t>Électricité du réseau</t>
  </si>
  <si>
    <t>UP-Petite Puissance</t>
  </si>
  <si>
    <t>UP-Moyenne Puissance</t>
  </si>
  <si>
    <t>1ère Tranche</t>
  </si>
  <si>
    <t>2ème Tranche</t>
  </si>
  <si>
    <t>3ème Tranche</t>
  </si>
  <si>
    <t>Tranche</t>
  </si>
  <si>
    <t>Prix (KWh)</t>
  </si>
  <si>
    <t>Energie par Tranche</t>
  </si>
  <si>
    <t>Tranche (KWh)</t>
  </si>
  <si>
    <t>∞</t>
  </si>
  <si>
    <t>Equivalent Réseau</t>
  </si>
  <si>
    <t>Sur 1 an</t>
  </si>
  <si>
    <t>Sur 5 ans</t>
  </si>
  <si>
    <t>Avantage coût électricité PV vs. Réseau</t>
  </si>
  <si>
    <t>Energie journalière consommée (KWh)</t>
  </si>
  <si>
    <t>Coût (FCFA)</t>
  </si>
  <si>
    <t>Moulin à grains</t>
  </si>
  <si>
    <t>Congélateur 360L</t>
  </si>
  <si>
    <t>Téléviseur</t>
  </si>
  <si>
    <t>Banc de recharge de smartphone</t>
  </si>
  <si>
    <t>Unité</t>
  </si>
  <si>
    <t>kg/h</t>
  </si>
  <si>
    <t>Capacité</t>
  </si>
  <si>
    <t>téléphones/h</t>
  </si>
  <si>
    <t>Selection</t>
  </si>
  <si>
    <t>oui</t>
  </si>
  <si>
    <t>m3/h</t>
  </si>
  <si>
    <t>Production</t>
  </si>
  <si>
    <t>Pompe solaire (modèle Lorentz PS2-150 Boost-60)</t>
  </si>
  <si>
    <t>Batiment</t>
  </si>
  <si>
    <t>L/j</t>
  </si>
  <si>
    <t>Choix modèle</t>
  </si>
  <si>
    <t>Nb applications</t>
  </si>
  <si>
    <t>Produit final</t>
  </si>
  <si>
    <t>Tourteaux</t>
  </si>
  <si>
    <t>Kg</t>
  </si>
  <si>
    <t>Acheteurs services</t>
  </si>
  <si>
    <t>Stocks de consommable</t>
  </si>
  <si>
    <t>Stocks de produits finis</t>
  </si>
  <si>
    <t>Fournisseurs matières</t>
  </si>
  <si>
    <t>Ordinateur</t>
  </si>
  <si>
    <t>Photocopieuse</t>
  </si>
  <si>
    <t>Éclairage</t>
  </si>
  <si>
    <t>heures par jour pointe</t>
  </si>
  <si>
    <t>heures par jour moyen</t>
  </si>
  <si>
    <t>non</t>
  </si>
  <si>
    <t>Combiné bois menuisier</t>
  </si>
  <si>
    <t>GEL HOPPECKE 6 OPzV 370</t>
  </si>
  <si>
    <t>Vibro-tamiseur</t>
  </si>
  <si>
    <t>Thermo-soudeur</t>
  </si>
  <si>
    <t>Tisse sac</t>
  </si>
  <si>
    <t>Cout de mise en sac</t>
  </si>
  <si>
    <t>Achat mil tamisé paysan</t>
  </si>
  <si>
    <t>Service tamisage (inclus prix rachat)</t>
  </si>
  <si>
    <t>Vente de mil tamisé</t>
  </si>
  <si>
    <t>Vente de mil tamisé décortiqué</t>
  </si>
  <si>
    <t>Vente de farine de mil</t>
  </si>
  <si>
    <t>Local batteries</t>
  </si>
  <si>
    <t>Commandes annuelles totales de mil</t>
  </si>
  <si>
    <t>Tonnes</t>
  </si>
  <si>
    <t>Salaires gestion plateforme</t>
  </si>
  <si>
    <t>Cout de tamisage manuel</t>
  </si>
  <si>
    <t>Frais fixes de raccordement</t>
  </si>
  <si>
    <t>Frais variables d'utilisation du réseau</t>
  </si>
  <si>
    <t>MT</t>
  </si>
  <si>
    <t>Réseau HTA</t>
  </si>
  <si>
    <t>Transformateur HT/MT - BT</t>
  </si>
  <si>
    <t>Fixe/Distance</t>
  </si>
  <si>
    <t>Fixe</t>
  </si>
  <si>
    <t>Distance</t>
  </si>
  <si>
    <t>Prix TTC</t>
  </si>
  <si>
    <t>Kg câble</t>
  </si>
  <si>
    <t>Extension BT*</t>
  </si>
  <si>
    <t>Dépend également de la distance de transport des équipements et nombre et type de poteaux non mesurable sauf par Sénélec (approximation)</t>
  </si>
  <si>
    <t>Étude raccordement</t>
  </si>
  <si>
    <t>10.000 à 100.000</t>
  </si>
  <si>
    <t>2.000.000 à 7.000.000</t>
  </si>
  <si>
    <t>Réseau HTA - Autres Frais</t>
  </si>
  <si>
    <t>Raccordement nécessaire (MT, BT) et distance</t>
  </si>
  <si>
    <t>Sur 10 ans</t>
  </si>
  <si>
    <t>Montant Frais HTA et KG câble</t>
  </si>
  <si>
    <t>Câbles et accessoires &amp; installation int.</t>
  </si>
  <si>
    <t>Démarreur/variateur</t>
  </si>
  <si>
    <t>Service décorticage</t>
  </si>
  <si>
    <t>Service mouture</t>
  </si>
  <si>
    <t>Paiement opérateurs</t>
  </si>
  <si>
    <t>Factures simulées</t>
  </si>
  <si>
    <t>SIMULATION DE FACTURE ELECTRICITE</t>
  </si>
  <si>
    <t>Site</t>
  </si>
  <si>
    <t>Godaguene Sorokh</t>
  </si>
  <si>
    <t xml:space="preserve">MODELE REMBOURSEMENT SYSTÈME SOLAIRE </t>
  </si>
  <si>
    <t>MODELE PAIEMENT KWh Prix solaire</t>
  </si>
  <si>
    <t xml:space="preserve">Délai de rentabilisation: </t>
  </si>
  <si>
    <t>Investissement total projet</t>
  </si>
  <si>
    <t>Investissement optimisé aux machines</t>
  </si>
  <si>
    <t>Montant du paiement mensuel</t>
  </si>
  <si>
    <t>Taux de remboursement (intérêts)</t>
  </si>
  <si>
    <t>Intérêts théoriques</t>
  </si>
  <si>
    <t>pour le système complet:</t>
  </si>
  <si>
    <t>Montant du paiement</t>
  </si>
  <si>
    <t>mensuel</t>
  </si>
  <si>
    <t>Service Mouture</t>
  </si>
  <si>
    <t>Energie nécessaire par jour</t>
  </si>
  <si>
    <t>Energie nécessaire durée projet</t>
  </si>
  <si>
    <t>Prix moyen décorticage (1kg)</t>
  </si>
  <si>
    <t>Prix moyen tamisage (1kg)</t>
  </si>
  <si>
    <t>Prix moyen mouture (1kg)</t>
  </si>
  <si>
    <t>Energie nécessaire mouture (1kg)</t>
  </si>
  <si>
    <t>Energie nécessaire décorticage (1kg)</t>
  </si>
  <si>
    <t>Energie nécessaire tamisage (1kg)</t>
  </si>
  <si>
    <t>Montant total</t>
  </si>
  <si>
    <t>Service Décorticage</t>
  </si>
  <si>
    <t>Service Tamisage</t>
  </si>
  <si>
    <t>Amortissements</t>
  </si>
  <si>
    <t>Prix moyen du KWh sans amortissement</t>
  </si>
  <si>
    <t>Prix moyen du KWh avec amortissement</t>
  </si>
  <si>
    <t>Temps nécessaire mouture (1kg)</t>
  </si>
  <si>
    <t>Temps nécessaire décorticage (1kg)</t>
  </si>
  <si>
    <t>Temps nécessaire tamisage (1kg)</t>
  </si>
  <si>
    <t>Sec</t>
  </si>
  <si>
    <t>Quantité tamisée</t>
  </si>
  <si>
    <t>Quantité Décortiquée</t>
  </si>
  <si>
    <t>Quantité moulue</t>
  </si>
  <si>
    <t>Prix unitaire au Kg</t>
  </si>
  <si>
    <t>Consommation mouture</t>
  </si>
  <si>
    <t>Consommation décortiqueuse</t>
  </si>
  <si>
    <t>Consommation tamisage</t>
  </si>
  <si>
    <t>Temps d'utilisation des machines</t>
  </si>
  <si>
    <t>Taux d'utilisation des machines</t>
  </si>
  <si>
    <t>heures</t>
  </si>
  <si>
    <t>Temps d'utilisation moulin</t>
  </si>
  <si>
    <t>Temps d'utilisation décortiqueuse</t>
  </si>
  <si>
    <t>Temps d'utilisation tamiseur</t>
  </si>
  <si>
    <t>Consommation totale des machines</t>
  </si>
  <si>
    <t>Durée de vie du projet ou d'un prêt</t>
  </si>
  <si>
    <t>Part du champ solaire dimenssionné</t>
  </si>
  <si>
    <t>pour les équipements productifs:</t>
  </si>
  <si>
    <t>PROJET PMP mil avec GIZ</t>
  </si>
  <si>
    <r>
      <t>Temps total utilisation des machines possible</t>
    </r>
    <r>
      <rPr>
        <b/>
        <sz val="12"/>
        <color rgb="FFFF0000"/>
        <rFont val="Calibri"/>
        <family val="2"/>
        <scheme val="minor"/>
      </rPr>
      <t xml:space="preserve">/mois </t>
    </r>
  </si>
  <si>
    <t>Modules PV  (375 Wc)</t>
  </si>
  <si>
    <t>Onduleur reseau 20 KW</t>
  </si>
  <si>
    <t>Batteries OPZS 1220 (Ah)</t>
  </si>
  <si>
    <t>Convertisseur chargeur victron  8KVA</t>
  </si>
  <si>
    <t>Coffret DC</t>
  </si>
  <si>
    <t>Coffret AC</t>
  </si>
  <si>
    <t xml:space="preserve">Câbles et accessoires </t>
  </si>
  <si>
    <t>Ensemble mise à la terre et accessoires</t>
  </si>
  <si>
    <t>Coffret pour batteries</t>
  </si>
  <si>
    <t>Dimmensionnement réel</t>
  </si>
  <si>
    <t xml:space="preserve">Dimmensionnement optimisé </t>
  </si>
  <si>
    <t>Choix de la decortiqueuse</t>
  </si>
  <si>
    <t>Choix du moulin</t>
  </si>
  <si>
    <t>Choix du vibro tamisseur</t>
  </si>
  <si>
    <t>Moulin à grains, 250 Kg/h</t>
  </si>
  <si>
    <t>Décortiqueuse électrique 150 Kg/h</t>
  </si>
  <si>
    <t>Moulin à grains, 125 Kg/h</t>
  </si>
  <si>
    <t>Décortiqueuse électrique 75 Kg/h</t>
  </si>
  <si>
    <t>Vibro-tamiseur 800 Kg/h</t>
  </si>
  <si>
    <t>Vibro-tamiseur 400 Kg/h</t>
  </si>
  <si>
    <t xml:space="preserve">Ensemble mise à la terre </t>
  </si>
  <si>
    <t xml:space="preserve">Modules  PV 375 W </t>
  </si>
  <si>
    <t>Modules PV  (375 Wc) Polycristallin</t>
  </si>
  <si>
    <t xml:space="preserve">Choix de l'onduleur reseau </t>
  </si>
  <si>
    <t xml:space="preserve">Choix de l'onduleur chargeur </t>
  </si>
  <si>
    <t xml:space="preserve">Onduleur chargeur </t>
  </si>
  <si>
    <t>Régulateur Victron Smart bluesolar MPPT 150V ; 85A</t>
  </si>
  <si>
    <t>Tension nécessaire alimentation solaire</t>
  </si>
  <si>
    <t xml:space="preserve">Nbre regulateur </t>
  </si>
  <si>
    <t>Regulateur/Onduleur reseau</t>
  </si>
  <si>
    <t xml:space="preserve">Puissance Equipements </t>
  </si>
  <si>
    <t>Pôle multiservice paysans PMP</t>
  </si>
  <si>
    <t>Entretien/maintenance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</si>
</sst>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0"/>
    <numFmt numFmtId="168" formatCode="_-* #,##0.00\ _€_-;\-* #,##0.00\ _€_-;_-* &quot;-&quot;\ _€_-;_-@_-"/>
    <numFmt numFmtId="169" formatCode="_-* #,##0\ _€_-;\-* #,##0\ _€_-;_-* &quot;-&quot;??\ _€_-;_-@_-"/>
    <numFmt numFmtId="170" formatCode="0.0%"/>
    <numFmt numFmtId="171" formatCode="_-* #,##0.0\ _€_-;\-* #,##0.0\ _€_-;_-* &quot;-&quot;\ _€_-;_-@_-"/>
    <numFmt numFmtId="172" formatCode="0.000"/>
    <numFmt numFmtId="173" formatCode="_-* #,##0.0000\ _€_-;\-* #,##0.0000\ _€_-;_-* &quot;-&quot;\ _€_-;_-@_-"/>
    <numFmt numFmtId="174" formatCode="_-* #,##0.0\ _€_-;\-* #,##0.0\ _€_-;_-* &quot;-&quot;?\ _€_-;_-@_-"/>
    <numFmt numFmtId="175" formatCode="_-* #,##0\ _€_-;\-* #,##0\ _€_-;_-* &quot;-&quot;?\ _€_-;_-@_-"/>
  </numFmts>
  <fonts count="5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Times New Roman"/>
      <family val="1"/>
    </font>
    <font>
      <b/>
      <i/>
      <sz val="16"/>
      <color theme="0"/>
      <name val="Calibri"/>
      <family val="2"/>
      <scheme val="minor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12"/>
      <color theme="1"/>
      <name val="Calibri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0"/>
      <name val="Calibri"/>
      <family val="2"/>
    </font>
    <font>
      <b/>
      <sz val="14"/>
      <color rgb="FF000000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theme="0"/>
      </patternFill>
    </fill>
    <fill>
      <patternFill patternType="solid">
        <fgColor theme="0"/>
        <bgColor theme="0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8DB3E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677">
    <xf numFmtId="0" fontId="0" fillId="0" borderId="0"/>
    <xf numFmtId="9" fontId="2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1" fontId="2" fillId="0" borderId="0" applyFont="0" applyFill="0" applyBorder="0" applyAlignment="0" applyProtection="0"/>
  </cellStyleXfs>
  <cellXfs count="38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2" fontId="6" fillId="3" borderId="1" xfId="0" applyNumberFormat="1" applyFont="1" applyFill="1" applyBorder="1" applyAlignment="1">
      <alignment horizontal="right" vertical="center" wrapText="1"/>
    </xf>
    <xf numFmtId="2" fontId="6" fillId="4" borderId="1" xfId="0" applyNumberFormat="1" applyFont="1" applyFill="1" applyBorder="1" applyAlignment="1">
      <alignment horizontal="right" vertical="center" wrapText="1"/>
    </xf>
    <xf numFmtId="2" fontId="6" fillId="5" borderId="1" xfId="0" applyNumberFormat="1" applyFont="1" applyFill="1" applyBorder="1" applyAlignment="1">
      <alignment horizontal="right" vertical="center" wrapText="1"/>
    </xf>
    <xf numFmtId="2" fontId="6" fillId="6" borderId="1" xfId="0" applyNumberFormat="1" applyFont="1" applyFill="1" applyBorder="1" applyAlignment="1">
      <alignment horizontal="right" vertical="center" wrapText="1"/>
    </xf>
    <xf numFmtId="0" fontId="7" fillId="7" borderId="2" xfId="0" applyFont="1" applyFill="1" applyBorder="1"/>
    <xf numFmtId="0" fontId="3" fillId="7" borderId="2" xfId="0" applyFont="1" applyFill="1" applyBorder="1"/>
    <xf numFmtId="0" fontId="6" fillId="0" borderId="7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right" vertical="center" wrapText="1"/>
    </xf>
    <xf numFmtId="166" fontId="6" fillId="5" borderId="7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164" fontId="4" fillId="2" borderId="0" xfId="0" applyNumberFormat="1" applyFont="1" applyFill="1" applyBorder="1"/>
    <xf numFmtId="0" fontId="5" fillId="7" borderId="0" xfId="0" applyFont="1" applyFill="1"/>
    <xf numFmtId="164" fontId="3" fillId="7" borderId="0" xfId="0" applyNumberFormat="1" applyFont="1" applyFill="1" applyBorder="1"/>
    <xf numFmtId="0" fontId="7" fillId="2" borderId="0" xfId="0" applyFont="1" applyFill="1" applyBorder="1"/>
    <xf numFmtId="0" fontId="5" fillId="2" borderId="0" xfId="0" applyFont="1" applyFill="1"/>
    <xf numFmtId="164" fontId="3" fillId="2" borderId="0" xfId="0" applyNumberFormat="1" applyFont="1" applyFill="1" applyBorder="1"/>
    <xf numFmtId="0" fontId="11" fillId="0" borderId="0" xfId="0" applyFont="1"/>
    <xf numFmtId="0" fontId="12" fillId="8" borderId="1" xfId="0" applyFont="1" applyFill="1" applyBorder="1" applyAlignment="1">
      <alignment horizontal="justify" vertical="center"/>
    </xf>
    <xf numFmtId="0" fontId="12" fillId="8" borderId="5" xfId="0" applyFon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right"/>
    </xf>
    <xf numFmtId="0" fontId="13" fillId="9" borderId="6" xfId="0" applyFont="1" applyFill="1" applyBorder="1" applyAlignment="1">
      <alignment horizontal="justify" vertical="center"/>
    </xf>
    <xf numFmtId="164" fontId="0" fillId="6" borderId="7" xfId="0" applyNumberFormat="1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justify" vertical="center"/>
    </xf>
    <xf numFmtId="168" fontId="0" fillId="2" borderId="0" xfId="0" applyNumberFormat="1" applyFill="1"/>
    <xf numFmtId="0" fontId="12" fillId="0" borderId="1" xfId="0" applyFont="1" applyBorder="1" applyAlignment="1">
      <alignment horizontal="justify" vertical="center"/>
    </xf>
    <xf numFmtId="164" fontId="4" fillId="5" borderId="1" xfId="0" applyNumberFormat="1" applyFont="1" applyFill="1" applyBorder="1"/>
    <xf numFmtId="164" fontId="4" fillId="5" borderId="5" xfId="0" applyNumberFormat="1" applyFont="1" applyFill="1" applyBorder="1"/>
    <xf numFmtId="164" fontId="4" fillId="6" borderId="5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0" fontId="12" fillId="8" borderId="1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6" xfId="0" applyFont="1" applyBorder="1" applyAlignment="1">
      <alignment vertical="center"/>
    </xf>
    <xf numFmtId="164" fontId="0" fillId="6" borderId="7" xfId="0" applyNumberFormat="1" applyFont="1" applyFill="1" applyBorder="1" applyAlignment="1">
      <alignment horizontal="right" vertical="center"/>
    </xf>
    <xf numFmtId="164" fontId="0" fillId="6" borderId="7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5" borderId="7" xfId="0" applyFont="1" applyFill="1" applyBorder="1"/>
    <xf numFmtId="164" fontId="4" fillId="6" borderId="7" xfId="0" applyNumberFormat="1" applyFont="1" applyFill="1" applyBorder="1" applyAlignment="1">
      <alignment horizontal="right" vertical="center"/>
    </xf>
    <xf numFmtId="164" fontId="15" fillId="6" borderId="7" xfId="0" applyNumberFormat="1" applyFont="1" applyFill="1" applyBorder="1" applyAlignment="1">
      <alignment horizontal="right" vertical="center"/>
    </xf>
    <xf numFmtId="0" fontId="12" fillId="8" borderId="5" xfId="0" applyFont="1" applyFill="1" applyBorder="1" applyAlignment="1">
      <alignment horizontal="right" vertical="center"/>
    </xf>
    <xf numFmtId="164" fontId="13" fillId="6" borderId="7" xfId="0" applyNumberFormat="1" applyFont="1" applyFill="1" applyBorder="1" applyAlignment="1">
      <alignment horizontal="center" vertical="center"/>
    </xf>
    <xf numFmtId="164" fontId="13" fillId="3" borderId="7" xfId="0" applyNumberFormat="1" applyFont="1" applyFill="1" applyBorder="1" applyAlignment="1">
      <alignment horizontal="center" vertical="center"/>
    </xf>
    <xf numFmtId="164" fontId="13" fillId="6" borderId="7" xfId="0" applyNumberFormat="1" applyFont="1" applyFill="1" applyBorder="1" applyAlignment="1">
      <alignment horizontal="right" vertical="center"/>
    </xf>
    <xf numFmtId="0" fontId="13" fillId="0" borderId="6" xfId="0" applyFont="1" applyBorder="1" applyAlignment="1">
      <alignment horizontal="justify" vertical="center"/>
    </xf>
    <xf numFmtId="0" fontId="4" fillId="0" borderId="6" xfId="0" applyFont="1" applyBorder="1" applyAlignment="1">
      <alignment horizontal="justify" vertical="center"/>
    </xf>
    <xf numFmtId="164" fontId="0" fillId="5" borderId="7" xfId="0" applyNumberFormat="1" applyFont="1" applyFill="1" applyBorder="1"/>
    <xf numFmtId="0" fontId="16" fillId="2" borderId="0" xfId="0" applyFont="1" applyFill="1" applyAlignment="1">
      <alignment vertical="center"/>
    </xf>
    <xf numFmtId="0" fontId="17" fillId="2" borderId="0" xfId="0" applyFont="1" applyFill="1" applyBorder="1" applyAlignment="1">
      <alignment vertical="center"/>
    </xf>
    <xf numFmtId="164" fontId="0" fillId="3" borderId="7" xfId="0" applyNumberFormat="1" applyFont="1" applyFill="1" applyBorder="1" applyAlignment="1">
      <alignment horizontal="right" vertical="center"/>
    </xf>
    <xf numFmtId="164" fontId="0" fillId="5" borderId="7" xfId="0" applyNumberFormat="1" applyFont="1" applyFill="1" applyBorder="1" applyAlignment="1">
      <alignment horizontal="center" vertical="center"/>
    </xf>
    <xf numFmtId="164" fontId="0" fillId="5" borderId="7" xfId="0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vertical="center"/>
    </xf>
    <xf numFmtId="164" fontId="0" fillId="6" borderId="1" xfId="0" applyNumberFormat="1" applyFill="1" applyBorder="1" applyAlignment="1">
      <alignment horizontal="right"/>
    </xf>
    <xf numFmtId="0" fontId="18" fillId="2" borderId="0" xfId="0" applyFont="1" applyFill="1"/>
    <xf numFmtId="164" fontId="18" fillId="6" borderId="1" xfId="0" applyNumberFormat="1" applyFont="1" applyFill="1" applyBorder="1" applyAlignment="1">
      <alignment horizontal="right"/>
    </xf>
    <xf numFmtId="0" fontId="12" fillId="8" borderId="1" xfId="0" applyFont="1" applyFill="1" applyBorder="1" applyAlignment="1">
      <alignment horizontal="justify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5" borderId="7" xfId="0" applyFont="1" applyFill="1" applyBorder="1" applyAlignment="1">
      <alignment horizontal="justify" vertical="center" wrapText="1"/>
    </xf>
    <xf numFmtId="0" fontId="4" fillId="6" borderId="6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justify" vertical="center"/>
    </xf>
    <xf numFmtId="164" fontId="13" fillId="6" borderId="6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justify" vertical="center"/>
    </xf>
    <xf numFmtId="164" fontId="4" fillId="6" borderId="6" xfId="0" applyNumberFormat="1" applyFont="1" applyFill="1" applyBorder="1" applyAlignment="1">
      <alignment horizontal="right" vertical="center"/>
    </xf>
    <xf numFmtId="0" fontId="0" fillId="0" borderId="11" xfId="0" applyFont="1" applyBorder="1" applyAlignment="1">
      <alignment horizontal="justify" vertical="center"/>
    </xf>
    <xf numFmtId="164" fontId="0" fillId="6" borderId="5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justify" vertical="center"/>
    </xf>
    <xf numFmtId="0" fontId="0" fillId="7" borderId="0" xfId="0" applyFill="1"/>
    <xf numFmtId="0" fontId="15" fillId="8" borderId="1" xfId="0" applyFont="1" applyFill="1" applyBorder="1" applyAlignment="1">
      <alignment horizontal="justify" vertical="center"/>
    </xf>
    <xf numFmtId="0" fontId="14" fillId="0" borderId="6" xfId="0" applyFont="1" applyBorder="1" applyAlignment="1">
      <alignment horizontal="justify" vertical="center"/>
    </xf>
    <xf numFmtId="0" fontId="15" fillId="0" borderId="6" xfId="0" applyFont="1" applyBorder="1" applyAlignment="1">
      <alignment horizontal="justify" vertical="center"/>
    </xf>
    <xf numFmtId="0" fontId="0" fillId="0" borderId="12" xfId="0" applyBorder="1"/>
    <xf numFmtId="10" fontId="0" fillId="0" borderId="12" xfId="1" applyNumberFormat="1" applyFont="1" applyBorder="1"/>
    <xf numFmtId="164" fontId="0" fillId="0" borderId="12" xfId="0" applyNumberFormat="1" applyBorder="1"/>
    <xf numFmtId="0" fontId="0" fillId="5" borderId="12" xfId="0" applyFill="1" applyBorder="1"/>
    <xf numFmtId="164" fontId="0" fillId="5" borderId="12" xfId="0" applyNumberFormat="1" applyFill="1" applyBorder="1"/>
    <xf numFmtId="49" fontId="19" fillId="0" borderId="12" xfId="0" applyNumberFormat="1" applyFont="1" applyBorder="1"/>
    <xf numFmtId="0" fontId="0" fillId="0" borderId="0" xfId="0" applyBorder="1"/>
    <xf numFmtId="0" fontId="19" fillId="0" borderId="0" xfId="0" applyFont="1"/>
    <xf numFmtId="49" fontId="19" fillId="0" borderId="13" xfId="0" applyNumberFormat="1" applyFont="1" applyBorder="1"/>
    <xf numFmtId="0" fontId="0" fillId="0" borderId="14" xfId="0" applyBorder="1"/>
    <xf numFmtId="49" fontId="20" fillId="10" borderId="0" xfId="0" applyNumberFormat="1" applyFont="1" applyFill="1"/>
    <xf numFmtId="0" fontId="20" fillId="10" borderId="0" xfId="0" applyFont="1" applyFill="1"/>
    <xf numFmtId="0" fontId="0" fillId="10" borderId="0" xfId="0" applyFill="1"/>
    <xf numFmtId="0" fontId="21" fillId="5" borderId="0" xfId="0" applyFont="1" applyFill="1" applyAlignment="1">
      <alignment horizontal="center"/>
    </xf>
    <xf numFmtId="164" fontId="0" fillId="0" borderId="0" xfId="0" applyNumberFormat="1"/>
    <xf numFmtId="169" fontId="0" fillId="0" borderId="0" xfId="0" applyNumberFormat="1"/>
    <xf numFmtId="0" fontId="15" fillId="8" borderId="5" xfId="0" applyFont="1" applyFill="1" applyBorder="1" applyAlignment="1">
      <alignment horizontal="center" vertical="center"/>
    </xf>
    <xf numFmtId="9" fontId="0" fillId="2" borderId="0" xfId="0" applyNumberFormat="1" applyFill="1"/>
    <xf numFmtId="0" fontId="24" fillId="2" borderId="0" xfId="0" applyFont="1" applyFill="1" applyAlignment="1">
      <alignment horizontal="right"/>
    </xf>
    <xf numFmtId="0" fontId="25" fillId="11" borderId="0" xfId="0" applyFont="1" applyFill="1"/>
    <xf numFmtId="0" fontId="26" fillId="2" borderId="0" xfId="0" applyFont="1" applyFill="1" applyAlignment="1">
      <alignment horizontal="right"/>
    </xf>
    <xf numFmtId="164" fontId="15" fillId="6" borderId="7" xfId="0" applyNumberFormat="1" applyFont="1" applyFill="1" applyBorder="1" applyAlignment="1">
      <alignment vertical="center"/>
    </xf>
    <xf numFmtId="164" fontId="14" fillId="6" borderId="7" xfId="0" applyNumberFormat="1" applyFont="1" applyFill="1" applyBorder="1" applyAlignment="1">
      <alignment horizontal="right" vertical="center"/>
    </xf>
    <xf numFmtId="0" fontId="0" fillId="2" borderId="0" xfId="0" applyFont="1" applyFill="1"/>
    <xf numFmtId="164" fontId="14" fillId="6" borderId="7" xfId="0" applyNumberFormat="1" applyFont="1" applyFill="1" applyBorder="1" applyAlignment="1">
      <alignment vertical="center"/>
    </xf>
    <xf numFmtId="38" fontId="26" fillId="6" borderId="1" xfId="0" applyNumberFormat="1" applyFont="1" applyFill="1" applyBorder="1" applyAlignment="1">
      <alignment horizontal="right"/>
    </xf>
    <xf numFmtId="170" fontId="26" fillId="6" borderId="1" xfId="0" applyNumberFormat="1" applyFont="1" applyFill="1" applyBorder="1" applyAlignment="1">
      <alignment horizontal="right"/>
    </xf>
    <xf numFmtId="165" fontId="26" fillId="6" borderId="1" xfId="0" applyNumberFormat="1" applyFont="1" applyFill="1" applyBorder="1" applyAlignment="1">
      <alignment horizontal="right"/>
    </xf>
    <xf numFmtId="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0" fillId="4" borderId="7" xfId="0" applyNumberFormat="1" applyFont="1" applyFill="1" applyBorder="1" applyAlignment="1">
      <alignment horizontal="right" vertical="center"/>
    </xf>
    <xf numFmtId="164" fontId="0" fillId="6" borderId="9" xfId="0" applyNumberFormat="1" applyFont="1" applyFill="1" applyBorder="1" applyAlignment="1">
      <alignment horizontal="center" vertical="center"/>
    </xf>
    <xf numFmtId="164" fontId="10" fillId="4" borderId="7" xfId="0" applyNumberFormat="1" applyFont="1" applyFill="1" applyBorder="1" applyAlignment="1">
      <alignment horizontal="right" vertical="center" wrapText="1"/>
    </xf>
    <xf numFmtId="164" fontId="9" fillId="4" borderId="7" xfId="0" applyNumberFormat="1" applyFont="1" applyFill="1" applyBorder="1" applyAlignment="1">
      <alignment horizontal="right" vertical="center" wrapText="1"/>
    </xf>
    <xf numFmtId="9" fontId="0" fillId="4" borderId="7" xfId="0" applyNumberFormat="1" applyFont="1" applyFill="1" applyBorder="1" applyAlignment="1">
      <alignment horizontal="right" vertical="center"/>
    </xf>
    <xf numFmtId="164" fontId="0" fillId="0" borderId="7" xfId="0" applyNumberFormat="1" applyFont="1" applyFill="1" applyBorder="1" applyAlignment="1">
      <alignment horizontal="center" vertical="center"/>
    </xf>
    <xf numFmtId="10" fontId="4" fillId="4" borderId="5" xfId="0" applyNumberFormat="1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9" fontId="0" fillId="4" borderId="6" xfId="0" applyNumberFormat="1" applyFont="1" applyFill="1" applyBorder="1" applyAlignment="1">
      <alignment horizontal="right" vertical="center"/>
    </xf>
    <xf numFmtId="0" fontId="0" fillId="3" borderId="1" xfId="0" applyNumberFormat="1" applyFont="1" applyFill="1" applyBorder="1" applyAlignment="1">
      <alignment horizontal="left"/>
    </xf>
    <xf numFmtId="168" fontId="26" fillId="6" borderId="1" xfId="0" applyNumberFormat="1" applyFont="1" applyFill="1" applyBorder="1" applyAlignment="1">
      <alignment horizontal="right"/>
    </xf>
    <xf numFmtId="0" fontId="0" fillId="2" borderId="2" xfId="0" applyFill="1" applyBorder="1"/>
    <xf numFmtId="0" fontId="27" fillId="2" borderId="0" xfId="0" applyFont="1" applyFill="1"/>
    <xf numFmtId="0" fontId="28" fillId="2" borderId="2" xfId="0" applyFont="1" applyFill="1" applyBorder="1"/>
    <xf numFmtId="171" fontId="0" fillId="6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0" fillId="2" borderId="0" xfId="0" applyFill="1" applyBorder="1"/>
    <xf numFmtId="0" fontId="0" fillId="2" borderId="15" xfId="0" applyFill="1" applyBorder="1"/>
    <xf numFmtId="0" fontId="0" fillId="2" borderId="17" xfId="0" applyFill="1" applyBorder="1"/>
    <xf numFmtId="0" fontId="0" fillId="2" borderId="9" xfId="0" applyFill="1" applyBorder="1"/>
    <xf numFmtId="0" fontId="0" fillId="2" borderId="18" xfId="0" applyFill="1" applyBorder="1"/>
    <xf numFmtId="0" fontId="0" fillId="2" borderId="19" xfId="0" applyFill="1" applyBorder="1"/>
    <xf numFmtId="0" fontId="8" fillId="5" borderId="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0" borderId="0" xfId="0" applyFill="1"/>
    <xf numFmtId="0" fontId="26" fillId="2" borderId="0" xfId="0" applyFont="1" applyFill="1" applyAlignment="1">
      <alignment vertical="top"/>
    </xf>
    <xf numFmtId="0" fontId="26" fillId="2" borderId="0" xfId="0" applyFont="1" applyFill="1"/>
    <xf numFmtId="0" fontId="8" fillId="5" borderId="1" xfId="0" applyFont="1" applyFill="1" applyBorder="1" applyAlignment="1">
      <alignment horizontal="center" vertical="center" wrapText="1"/>
    </xf>
    <xf numFmtId="172" fontId="9" fillId="4" borderId="7" xfId="0" applyNumberFormat="1" applyFont="1" applyFill="1" applyBorder="1" applyAlignment="1">
      <alignment horizontal="right" vertical="center" wrapText="1"/>
    </xf>
    <xf numFmtId="168" fontId="9" fillId="4" borderId="7" xfId="0" applyNumberFormat="1" applyFont="1" applyFill="1" applyBorder="1" applyAlignment="1">
      <alignment horizontal="right" vertical="center" wrapText="1"/>
    </xf>
    <xf numFmtId="1" fontId="9" fillId="4" borderId="7" xfId="0" applyNumberFormat="1" applyFont="1" applyFill="1" applyBorder="1" applyAlignment="1">
      <alignment horizontal="right" vertical="center" wrapText="1"/>
    </xf>
    <xf numFmtId="2" fontId="0" fillId="4" borderId="4" xfId="0" applyNumberFormat="1" applyFill="1" applyBorder="1" applyAlignment="1"/>
    <xf numFmtId="0" fontId="0" fillId="4" borderId="5" xfId="0" applyFill="1" applyBorder="1" applyAlignment="1"/>
    <xf numFmtId="0" fontId="0" fillId="2" borderId="20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center"/>
    </xf>
    <xf numFmtId="1" fontId="6" fillId="5" borderId="7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4" borderId="0" xfId="0" applyFill="1" applyAlignment="1">
      <alignment horizontal="right"/>
    </xf>
    <xf numFmtId="0" fontId="11" fillId="4" borderId="0" xfId="0" applyFont="1" applyFill="1"/>
    <xf numFmtId="1" fontId="0" fillId="6" borderId="4" xfId="0" applyNumberFormat="1" applyFill="1" applyBorder="1" applyAlignment="1">
      <alignment horizontal="left"/>
    </xf>
    <xf numFmtId="1" fontId="0" fillId="4" borderId="4" xfId="0" applyNumberFormat="1" applyFill="1" applyBorder="1" applyAlignment="1">
      <alignment horizontal="left"/>
    </xf>
    <xf numFmtId="2" fontId="0" fillId="6" borderId="5" xfId="0" applyNumberFormat="1" applyFill="1" applyBorder="1" applyAlignment="1"/>
    <xf numFmtId="9" fontId="0" fillId="4" borderId="4" xfId="0" applyNumberFormat="1" applyFill="1" applyBorder="1" applyAlignment="1">
      <alignment horizontal="left"/>
    </xf>
    <xf numFmtId="2" fontId="0" fillId="4" borderId="5" xfId="0" applyNumberFormat="1" applyFill="1" applyBorder="1" applyAlignment="1">
      <alignment horizontal="left"/>
    </xf>
    <xf numFmtId="164" fontId="0" fillId="4" borderId="9" xfId="0" applyNumberFormat="1" applyFont="1" applyFill="1" applyBorder="1" applyAlignment="1">
      <alignment horizontal="center" vertical="center"/>
    </xf>
    <xf numFmtId="0" fontId="0" fillId="6" borderId="5" xfId="0" applyFill="1" applyBorder="1" applyAlignment="1"/>
    <xf numFmtId="0" fontId="14" fillId="6" borderId="5" xfId="0" applyFont="1" applyFill="1" applyBorder="1" applyAlignment="1"/>
    <xf numFmtId="0" fontId="1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19" fillId="2" borderId="0" xfId="0" applyFont="1" applyFill="1"/>
    <xf numFmtId="164" fontId="0" fillId="2" borderId="0" xfId="0" applyNumberFormat="1" applyFill="1"/>
    <xf numFmtId="2" fontId="0" fillId="6" borderId="4" xfId="0" applyNumberForma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1" fillId="2" borderId="0" xfId="0" applyFont="1" applyFill="1" applyAlignment="1">
      <alignment horizontal="center"/>
    </xf>
    <xf numFmtId="2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12" fillId="8" borderId="5" xfId="0" applyFont="1" applyFill="1" applyBorder="1" applyAlignment="1">
      <alignment horizontal="center" vertical="center" wrapText="1"/>
    </xf>
    <xf numFmtId="2" fontId="32" fillId="4" borderId="7" xfId="0" applyNumberFormat="1" applyFont="1" applyFill="1" applyBorder="1" applyAlignment="1">
      <alignment horizontal="right" vertical="center" wrapText="1"/>
    </xf>
    <xf numFmtId="164" fontId="32" fillId="4" borderId="7" xfId="0" applyNumberFormat="1" applyFont="1" applyFill="1" applyBorder="1" applyAlignment="1">
      <alignment horizontal="right" vertical="center" wrapText="1"/>
    </xf>
    <xf numFmtId="167" fontId="32" fillId="4" borderId="7" xfId="0" applyNumberFormat="1" applyFont="1" applyFill="1" applyBorder="1" applyAlignment="1">
      <alignment horizontal="right" vertical="center" wrapText="1"/>
    </xf>
    <xf numFmtId="1" fontId="32" fillId="4" borderId="7" xfId="0" applyNumberFormat="1" applyFont="1" applyFill="1" applyBorder="1" applyAlignment="1">
      <alignment horizontal="right" vertical="center" wrapText="1"/>
    </xf>
    <xf numFmtId="2" fontId="33" fillId="4" borderId="7" xfId="0" applyNumberFormat="1" applyFont="1" applyFill="1" applyBorder="1" applyAlignment="1">
      <alignment horizontal="right" vertical="center" wrapText="1"/>
    </xf>
    <xf numFmtId="2" fontId="32" fillId="4" borderId="7" xfId="0" quotePrefix="1" applyNumberFormat="1" applyFont="1" applyFill="1" applyBorder="1" applyAlignment="1">
      <alignment horizontal="right" vertical="center" wrapText="1"/>
    </xf>
    <xf numFmtId="166" fontId="34" fillId="0" borderId="1" xfId="0" applyNumberFormat="1" applyFont="1" applyBorder="1" applyAlignment="1">
      <alignment horizontal="right" vertical="center" wrapText="1"/>
    </xf>
    <xf numFmtId="4" fontId="35" fillId="5" borderId="1" xfId="0" applyNumberFormat="1" applyFont="1" applyFill="1" applyBorder="1" applyAlignment="1">
      <alignment horizontal="center" vertical="center" wrapText="1"/>
    </xf>
    <xf numFmtId="2" fontId="33" fillId="4" borderId="7" xfId="0" quotePrefix="1" applyNumberFormat="1" applyFont="1" applyFill="1" applyBorder="1" applyAlignment="1">
      <alignment horizontal="right" vertical="center" wrapText="1"/>
    </xf>
    <xf numFmtId="0" fontId="36" fillId="0" borderId="6" xfId="0" applyFont="1" applyBorder="1" applyAlignment="1">
      <alignment vertical="center"/>
    </xf>
    <xf numFmtId="2" fontId="32" fillId="4" borderId="7" xfId="0" applyNumberFormat="1" applyFont="1" applyFill="1" applyBorder="1" applyAlignment="1">
      <alignment horizontal="center" vertical="center" wrapText="1"/>
    </xf>
    <xf numFmtId="2" fontId="33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166" fontId="13" fillId="0" borderId="6" xfId="0" applyNumberFormat="1" applyFont="1" applyBorder="1" applyAlignment="1">
      <alignment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right" vertical="center"/>
    </xf>
    <xf numFmtId="9" fontId="0" fillId="4" borderId="0" xfId="0" applyNumberFormat="1" applyFill="1" applyBorder="1" applyAlignment="1">
      <alignment horizontal="right"/>
    </xf>
    <xf numFmtId="0" fontId="37" fillId="8" borderId="5" xfId="0" applyFont="1" applyFill="1" applyBorder="1" applyAlignment="1">
      <alignment horizontal="center" vertical="center" wrapText="1"/>
    </xf>
    <xf numFmtId="0" fontId="37" fillId="8" borderId="1" xfId="0" applyFont="1" applyFill="1" applyBorder="1" applyAlignment="1">
      <alignment horizontal="center" vertical="center" wrapText="1"/>
    </xf>
    <xf numFmtId="164" fontId="36" fillId="6" borderId="7" xfId="0" applyNumberFormat="1" applyFont="1" applyFill="1" applyBorder="1" applyAlignment="1">
      <alignment horizontal="center" vertical="center"/>
    </xf>
    <xf numFmtId="0" fontId="36" fillId="0" borderId="6" xfId="0" applyFont="1" applyBorder="1" applyAlignment="1">
      <alignment horizontal="justify" vertical="center"/>
    </xf>
    <xf numFmtId="0" fontId="33" fillId="0" borderId="7" xfId="0" applyFont="1" applyBorder="1" applyAlignment="1">
      <alignment horizontal="center" vertical="center" wrapText="1"/>
    </xf>
    <xf numFmtId="166" fontId="38" fillId="0" borderId="1" xfId="0" applyNumberFormat="1" applyFont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 wrapText="1"/>
    </xf>
    <xf numFmtId="168" fontId="10" fillId="0" borderId="0" xfId="0" applyNumberFormat="1" applyFont="1" applyFill="1" applyBorder="1" applyAlignment="1">
      <alignment horizontal="right" vertical="center" wrapText="1"/>
    </xf>
    <xf numFmtId="2" fontId="32" fillId="13" borderId="7" xfId="0" applyNumberFormat="1" applyFont="1" applyFill="1" applyBorder="1" applyAlignment="1">
      <alignment horizontal="right" vertical="center" wrapText="1"/>
    </xf>
    <xf numFmtId="164" fontId="32" fillId="13" borderId="7" xfId="0" applyNumberFormat="1" applyFont="1" applyFill="1" applyBorder="1" applyAlignment="1">
      <alignment horizontal="right" vertical="center" wrapText="1"/>
    </xf>
    <xf numFmtId="164" fontId="33" fillId="4" borderId="7" xfId="0" applyNumberFormat="1" applyFont="1" applyFill="1" applyBorder="1" applyAlignment="1">
      <alignment horizontal="right" vertical="center" wrapText="1"/>
    </xf>
    <xf numFmtId="167" fontId="33" fillId="4" borderId="7" xfId="0" applyNumberFormat="1" applyFont="1" applyFill="1" applyBorder="1" applyAlignment="1">
      <alignment horizontal="right" vertical="center" wrapText="1"/>
    </xf>
    <xf numFmtId="1" fontId="33" fillId="4" borderId="7" xfId="0" applyNumberFormat="1" applyFont="1" applyFill="1" applyBorder="1" applyAlignment="1">
      <alignment horizontal="right" vertical="center" wrapText="1"/>
    </xf>
    <xf numFmtId="0" fontId="36" fillId="9" borderId="6" xfId="0" applyFont="1" applyFill="1" applyBorder="1" applyAlignment="1">
      <alignment horizontal="justify" vertical="center"/>
    </xf>
    <xf numFmtId="0" fontId="36" fillId="0" borderId="1" xfId="0" applyFont="1" applyBorder="1" applyAlignment="1">
      <alignment horizontal="justify" vertical="center"/>
    </xf>
    <xf numFmtId="0" fontId="0" fillId="4" borderId="4" xfId="0" applyNumberFormat="1" applyFill="1" applyBorder="1" applyAlignment="1">
      <alignment horizontal="left"/>
    </xf>
    <xf numFmtId="0" fontId="36" fillId="9" borderId="8" xfId="0" applyFont="1" applyFill="1" applyBorder="1" applyAlignment="1">
      <alignment horizontal="justify" vertical="center"/>
    </xf>
    <xf numFmtId="171" fontId="0" fillId="6" borderId="7" xfId="0" applyNumberFormat="1" applyFont="1" applyFill="1" applyBorder="1" applyAlignment="1">
      <alignment horizontal="center" vertical="center"/>
    </xf>
    <xf numFmtId="164" fontId="14" fillId="6" borderId="5" xfId="0" applyNumberFormat="1" applyFont="1" applyFill="1" applyBorder="1" applyAlignment="1">
      <alignment horizontal="center" vertical="center"/>
    </xf>
    <xf numFmtId="171" fontId="14" fillId="6" borderId="5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0" fontId="0" fillId="4" borderId="21" xfId="0" applyFill="1" applyBorder="1" applyAlignment="1"/>
    <xf numFmtId="0" fontId="0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center"/>
    </xf>
    <xf numFmtId="164" fontId="0" fillId="2" borderId="12" xfId="0" applyNumberFormat="1" applyFill="1" applyBorder="1" applyAlignment="1">
      <alignment horizontal="right"/>
    </xf>
    <xf numFmtId="164" fontId="0" fillId="2" borderId="12" xfId="0" applyNumberFormat="1" applyFont="1" applyFill="1" applyBorder="1" applyAlignment="1">
      <alignment horizontal="center"/>
    </xf>
    <xf numFmtId="164" fontId="0" fillId="2" borderId="12" xfId="0" applyNumberFormat="1" applyFont="1" applyFill="1" applyBorder="1" applyAlignment="1">
      <alignment horizontal="right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0" fillId="4" borderId="21" xfId="0" applyNumberFormat="1" applyFill="1" applyBorder="1" applyAlignment="1"/>
    <xf numFmtId="2" fontId="6" fillId="4" borderId="7" xfId="0" applyNumberFormat="1" applyFont="1" applyFill="1" applyBorder="1" applyAlignment="1">
      <alignment horizontal="right" vertical="center" wrapText="1"/>
    </xf>
    <xf numFmtId="2" fontId="6" fillId="4" borderId="7" xfId="0" applyNumberFormat="1" applyFont="1" applyFill="1" applyBorder="1" applyAlignment="1">
      <alignment horizontal="center" vertical="center" wrapText="1"/>
    </xf>
    <xf numFmtId="0" fontId="0" fillId="2" borderId="22" xfId="0" applyFill="1" applyBorder="1"/>
    <xf numFmtId="0" fontId="46" fillId="2" borderId="10" xfId="0" applyFont="1" applyFill="1" applyBorder="1"/>
    <xf numFmtId="0" fontId="43" fillId="2" borderId="0" xfId="0" applyFont="1" applyFill="1" applyBorder="1"/>
    <xf numFmtId="0" fontId="44" fillId="2" borderId="0" xfId="0" applyFont="1" applyFill="1" applyBorder="1"/>
    <xf numFmtId="0" fontId="0" fillId="5" borderId="0" xfId="0" applyFill="1" applyBorder="1"/>
    <xf numFmtId="0" fontId="29" fillId="5" borderId="0" xfId="0" applyFont="1" applyFill="1" applyBorder="1" applyAlignment="1">
      <alignment horizontal="left"/>
    </xf>
    <xf numFmtId="0" fontId="0" fillId="5" borderId="15" xfId="0" applyFill="1" applyBorder="1"/>
    <xf numFmtId="0" fontId="46" fillId="2" borderId="17" xfId="0" applyFont="1" applyFill="1" applyBorder="1"/>
    <xf numFmtId="0" fontId="43" fillId="2" borderId="17" xfId="0" applyFont="1" applyFill="1" applyBorder="1"/>
    <xf numFmtId="0" fontId="0" fillId="12" borderId="5" xfId="0" applyFill="1" applyBorder="1"/>
    <xf numFmtId="0" fontId="45" fillId="12" borderId="4" xfId="0" applyFont="1" applyFill="1" applyBorder="1"/>
    <xf numFmtId="0" fontId="29" fillId="5" borderId="0" xfId="0" applyFont="1" applyFill="1" applyBorder="1" applyAlignment="1">
      <alignment horizontal="right"/>
    </xf>
    <xf numFmtId="0" fontId="47" fillId="2" borderId="17" xfId="0" applyFont="1" applyFill="1" applyBorder="1" applyAlignment="1">
      <alignment horizontal="right"/>
    </xf>
    <xf numFmtId="0" fontId="0" fillId="5" borderId="19" xfId="0" applyFill="1" applyBorder="1"/>
    <xf numFmtId="0" fontId="0" fillId="2" borderId="0" xfId="0" applyFill="1" applyBorder="1" applyAlignment="1">
      <alignment horizontal="center"/>
    </xf>
    <xf numFmtId="0" fontId="44" fillId="2" borderId="0" xfId="0" applyFont="1" applyFill="1"/>
    <xf numFmtId="0" fontId="44" fillId="0" borderId="0" xfId="0" applyFont="1"/>
    <xf numFmtId="0" fontId="0" fillId="5" borderId="17" xfId="0" applyFill="1" applyBorder="1"/>
    <xf numFmtId="0" fontId="0" fillId="5" borderId="9" xfId="0" applyFill="1" applyBorder="1"/>
    <xf numFmtId="0" fontId="0" fillId="5" borderId="18" xfId="0" applyFill="1" applyBorder="1"/>
    <xf numFmtId="0" fontId="0" fillId="5" borderId="7" xfId="0" applyFill="1" applyBorder="1"/>
    <xf numFmtId="0" fontId="43" fillId="2" borderId="22" xfId="0" applyFont="1" applyFill="1" applyBorder="1"/>
    <xf numFmtId="0" fontId="43" fillId="2" borderId="9" xfId="0" applyFont="1" applyFill="1" applyBorder="1"/>
    <xf numFmtId="0" fontId="43" fillId="2" borderId="18" xfId="0" applyFont="1" applyFill="1" applyBorder="1"/>
    <xf numFmtId="0" fontId="43" fillId="2" borderId="19" xfId="0" applyFont="1" applyFill="1" applyBorder="1"/>
    <xf numFmtId="0" fontId="43" fillId="2" borderId="24" xfId="0" applyFont="1" applyFill="1" applyBorder="1"/>
    <xf numFmtId="0" fontId="43" fillId="2" borderId="7" xfId="0" applyFont="1" applyFill="1" applyBorder="1"/>
    <xf numFmtId="164" fontId="0" fillId="6" borderId="4" xfId="0" applyNumberFormat="1" applyFill="1" applyBorder="1" applyAlignment="1"/>
    <xf numFmtId="9" fontId="43" fillId="2" borderId="0" xfId="1" applyFont="1" applyFill="1" applyBorder="1"/>
    <xf numFmtId="0" fontId="43" fillId="2" borderId="0" xfId="0" applyFont="1" applyFill="1" applyBorder="1" applyAlignment="1">
      <alignment horizontal="right"/>
    </xf>
    <xf numFmtId="164" fontId="43" fillId="2" borderId="0" xfId="0" applyNumberFormat="1" applyFont="1" applyFill="1" applyBorder="1"/>
    <xf numFmtId="0" fontId="31" fillId="5" borderId="17" xfId="0" applyFont="1" applyFill="1" applyBorder="1"/>
    <xf numFmtId="164" fontId="31" fillId="5" borderId="0" xfId="0" applyNumberFormat="1" applyFont="1" applyFill="1" applyBorder="1"/>
    <xf numFmtId="0" fontId="31" fillId="5" borderId="22" xfId="0" applyFont="1" applyFill="1" applyBorder="1"/>
    <xf numFmtId="0" fontId="0" fillId="5" borderId="10" xfId="0" applyFill="1" applyBorder="1"/>
    <xf numFmtId="0" fontId="0" fillId="5" borderId="16" xfId="0" applyFill="1" applyBorder="1"/>
    <xf numFmtId="0" fontId="43" fillId="2" borderId="0" xfId="0" applyFont="1" applyFill="1" applyBorder="1" applyAlignment="1">
      <alignment wrapText="1"/>
    </xf>
    <xf numFmtId="0" fontId="42" fillId="2" borderId="0" xfId="0" applyFont="1" applyFill="1" applyBorder="1" applyAlignment="1">
      <alignment horizontal="left"/>
    </xf>
    <xf numFmtId="0" fontId="4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0" fontId="42" fillId="2" borderId="0" xfId="0" applyFont="1" applyFill="1" applyBorder="1" applyAlignment="1">
      <alignment horizontal="right"/>
    </xf>
    <xf numFmtId="164" fontId="0" fillId="6" borderId="4" xfId="0" applyNumberFormat="1" applyFill="1" applyBorder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4" fillId="2" borderId="0" xfId="0" applyFont="1" applyFill="1" applyBorder="1" applyAlignment="1"/>
    <xf numFmtId="171" fontId="0" fillId="6" borderId="4" xfId="0" applyNumberFormat="1" applyFill="1" applyBorder="1" applyAlignment="1">
      <alignment horizontal="right"/>
    </xf>
    <xf numFmtId="168" fontId="0" fillId="6" borderId="4" xfId="0" applyNumberFormat="1" applyFill="1" applyBorder="1" applyAlignment="1">
      <alignment horizontal="right"/>
    </xf>
    <xf numFmtId="173" fontId="0" fillId="6" borderId="4" xfId="0" applyNumberFormat="1" applyFill="1" applyBorder="1" applyAlignment="1">
      <alignment horizontal="right"/>
    </xf>
    <xf numFmtId="0" fontId="31" fillId="5" borderId="0" xfId="0" applyFont="1" applyFill="1" applyBorder="1"/>
    <xf numFmtId="0" fontId="43" fillId="2" borderId="23" xfId="0" applyFont="1" applyFill="1" applyBorder="1"/>
    <xf numFmtId="173" fontId="0" fillId="2" borderId="0" xfId="0" applyNumberFormat="1" applyFill="1" applyBorder="1" applyAlignment="1">
      <alignment horizontal="right"/>
    </xf>
    <xf numFmtId="174" fontId="0" fillId="2" borderId="0" xfId="0" applyNumberFormat="1" applyFill="1" applyBorder="1"/>
    <xf numFmtId="0" fontId="43" fillId="2" borderId="0" xfId="0" applyFont="1" applyFill="1" applyBorder="1" applyAlignment="1"/>
    <xf numFmtId="164" fontId="42" fillId="2" borderId="0" xfId="0" applyNumberFormat="1" applyFont="1" applyFill="1" applyBorder="1" applyAlignment="1">
      <alignment horizontal="center"/>
    </xf>
    <xf numFmtId="0" fontId="29" fillId="5" borderId="15" xfId="0" applyFont="1" applyFill="1" applyBorder="1" applyAlignment="1">
      <alignment horizontal="left"/>
    </xf>
    <xf numFmtId="0" fontId="43" fillId="5" borderId="9" xfId="0" applyFont="1" applyFill="1" applyBorder="1"/>
    <xf numFmtId="174" fontId="43" fillId="2" borderId="0" xfId="0" applyNumberFormat="1" applyFont="1" applyFill="1" applyBorder="1"/>
    <xf numFmtId="0" fontId="43" fillId="0" borderId="0" xfId="0" applyFont="1" applyBorder="1"/>
    <xf numFmtId="174" fontId="43" fillId="0" borderId="0" xfId="0" applyNumberFormat="1" applyFont="1" applyBorder="1"/>
    <xf numFmtId="0" fontId="43" fillId="0" borderId="9" xfId="0" applyFont="1" applyBorder="1"/>
    <xf numFmtId="0" fontId="31" fillId="5" borderId="9" xfId="0" applyFont="1" applyFill="1" applyBorder="1"/>
    <xf numFmtId="164" fontId="43" fillId="2" borderId="0" xfId="0" applyNumberFormat="1" applyFont="1" applyFill="1" applyBorder="1" applyAlignment="1">
      <alignment horizontal="right"/>
    </xf>
    <xf numFmtId="0" fontId="12" fillId="8" borderId="5" xfId="0" applyFont="1" applyFill="1" applyBorder="1" applyAlignment="1">
      <alignment horizontal="center" vertical="center" wrapText="1"/>
    </xf>
    <xf numFmtId="2" fontId="0" fillId="6" borderId="4" xfId="0" applyNumberFormat="1" applyFill="1" applyBorder="1" applyAlignment="1">
      <alignment horizontal="left"/>
    </xf>
    <xf numFmtId="175" fontId="48" fillId="5" borderId="0" xfId="0" applyNumberFormat="1" applyFont="1" applyFill="1" applyBorder="1"/>
    <xf numFmtId="164" fontId="52" fillId="6" borderId="4" xfId="0" applyNumberFormat="1" applyFont="1" applyFill="1" applyBorder="1" applyAlignment="1">
      <alignment horizontal="right"/>
    </xf>
    <xf numFmtId="164" fontId="52" fillId="6" borderId="4" xfId="0" applyNumberFormat="1" applyFont="1" applyFill="1" applyBorder="1" applyAlignment="1"/>
    <xf numFmtId="174" fontId="53" fillId="0" borderId="0" xfId="0" applyNumberFormat="1" applyFont="1" applyBorder="1"/>
    <xf numFmtId="0" fontId="54" fillId="14" borderId="1" xfId="0" applyFont="1" applyFill="1" applyBorder="1"/>
    <xf numFmtId="0" fontId="54" fillId="15" borderId="15" xfId="0" applyFont="1" applyFill="1" applyBorder="1"/>
    <xf numFmtId="0" fontId="54" fillId="15" borderId="0" xfId="0" applyFont="1" applyFill="1"/>
    <xf numFmtId="2" fontId="33" fillId="4" borderId="1" xfId="0" applyNumberFormat="1" applyFont="1" applyFill="1" applyBorder="1" applyAlignment="1">
      <alignment horizontal="center" vertical="center" wrapText="1"/>
    </xf>
    <xf numFmtId="2" fontId="33" fillId="4" borderId="1" xfId="0" quotePrefix="1" applyNumberFormat="1" applyFont="1" applyFill="1" applyBorder="1" applyAlignment="1">
      <alignment horizontal="right" vertical="center" wrapText="1"/>
    </xf>
    <xf numFmtId="2" fontId="33" fillId="4" borderId="1" xfId="0" applyNumberFormat="1" applyFont="1" applyFill="1" applyBorder="1" applyAlignment="1">
      <alignment horizontal="right" vertical="center" wrapText="1"/>
    </xf>
    <xf numFmtId="164" fontId="33" fillId="4" borderId="1" xfId="0" applyNumberFormat="1" applyFont="1" applyFill="1" applyBorder="1" applyAlignment="1">
      <alignment horizontal="right" vertical="center" wrapText="1"/>
    </xf>
    <xf numFmtId="167" fontId="33" fillId="4" borderId="1" xfId="0" applyNumberFormat="1" applyFont="1" applyFill="1" applyBorder="1" applyAlignment="1">
      <alignment horizontal="right" vertical="center" wrapText="1"/>
    </xf>
    <xf numFmtId="1" fontId="33" fillId="4" borderId="1" xfId="0" applyNumberFormat="1" applyFont="1" applyFill="1" applyBorder="1" applyAlignment="1">
      <alignment horizontal="right" vertical="center" wrapText="1"/>
    </xf>
    <xf numFmtId="0" fontId="12" fillId="0" borderId="6" xfId="0" applyFont="1" applyBorder="1" applyAlignment="1">
      <alignment vertical="center"/>
    </xf>
    <xf numFmtId="0" fontId="55" fillId="0" borderId="6" xfId="0" applyFont="1" applyBorder="1" applyAlignment="1">
      <alignment horizontal="right" vertical="center"/>
    </xf>
    <xf numFmtId="2" fontId="0" fillId="4" borderId="10" xfId="0" applyNumberFormat="1" applyFill="1" applyBorder="1" applyAlignment="1"/>
    <xf numFmtId="0" fontId="0" fillId="4" borderId="16" xfId="0" applyFill="1" applyBorder="1" applyAlignment="1"/>
    <xf numFmtId="0" fontId="5" fillId="0" borderId="0" xfId="0" applyFont="1"/>
    <xf numFmtId="2" fontId="33" fillId="4" borderId="6" xfId="0" applyNumberFormat="1" applyFont="1" applyFill="1" applyBorder="1" applyAlignment="1">
      <alignment horizontal="center" vertical="center" wrapText="1"/>
    </xf>
    <xf numFmtId="2" fontId="33" fillId="4" borderId="6" xfId="0" applyNumberFormat="1" applyFont="1" applyFill="1" applyBorder="1" applyAlignment="1">
      <alignment horizontal="right" vertical="center" wrapText="1"/>
    </xf>
    <xf numFmtId="2" fontId="33" fillId="4" borderId="6" xfId="0" quotePrefix="1" applyNumberFormat="1" applyFont="1" applyFill="1" applyBorder="1" applyAlignment="1">
      <alignment horizontal="right" vertical="center" wrapText="1"/>
    </xf>
    <xf numFmtId="167" fontId="33" fillId="4" borderId="6" xfId="0" applyNumberFormat="1" applyFont="1" applyFill="1" applyBorder="1" applyAlignment="1">
      <alignment horizontal="right" vertical="center" wrapText="1"/>
    </xf>
    <xf numFmtId="1" fontId="33" fillId="4" borderId="6" xfId="0" applyNumberFormat="1" applyFont="1" applyFill="1" applyBorder="1" applyAlignment="1">
      <alignment horizontal="right" vertical="center" wrapText="1"/>
    </xf>
    <xf numFmtId="166" fontId="12" fillId="0" borderId="6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4" fillId="0" borderId="1" xfId="0" applyFont="1" applyBorder="1"/>
    <xf numFmtId="41" fontId="0" fillId="0" borderId="7" xfId="676" applyFont="1" applyFill="1" applyBorder="1" applyAlignment="1">
      <alignment horizontal="center" vertical="center"/>
    </xf>
    <xf numFmtId="41" fontId="0" fillId="0" borderId="7" xfId="676" applyFont="1" applyFill="1" applyBorder="1" applyAlignment="1">
      <alignment horizontal="center" vertical="center" wrapText="1"/>
    </xf>
    <xf numFmtId="41" fontId="0" fillId="0" borderId="1" xfId="676" applyFont="1" applyFill="1" applyBorder="1" applyAlignment="1">
      <alignment horizontal="center"/>
    </xf>
    <xf numFmtId="41" fontId="0" fillId="0" borderId="5" xfId="676" applyFont="1" applyFill="1" applyBorder="1" applyAlignment="1">
      <alignment horizontal="center" vertical="center"/>
    </xf>
    <xf numFmtId="41" fontId="0" fillId="0" borderId="1" xfId="676" applyFont="1" applyFill="1" applyBorder="1" applyAlignment="1">
      <alignment horizontal="center" vertical="center"/>
    </xf>
    <xf numFmtId="41" fontId="0" fillId="5" borderId="7" xfId="676" applyFont="1" applyFill="1" applyBorder="1" applyAlignment="1">
      <alignment horizontal="center"/>
    </xf>
    <xf numFmtId="41" fontId="4" fillId="5" borderId="7" xfId="676" applyFont="1" applyFill="1" applyBorder="1" applyAlignment="1">
      <alignment horizontal="center" vertical="center"/>
    </xf>
    <xf numFmtId="41" fontId="15" fillId="5" borderId="7" xfId="676" applyFont="1" applyFill="1" applyBorder="1" applyAlignment="1">
      <alignment horizontal="center" vertical="center"/>
    </xf>
    <xf numFmtId="41" fontId="0" fillId="4" borderId="7" xfId="676" applyFont="1" applyFill="1" applyBorder="1" applyAlignment="1">
      <alignment horizontal="center" vertical="center"/>
    </xf>
    <xf numFmtId="41" fontId="0" fillId="4" borderId="5" xfId="676" applyFont="1" applyFill="1" applyBorder="1" applyAlignment="1">
      <alignment horizontal="center" vertical="center"/>
    </xf>
    <xf numFmtId="164" fontId="4" fillId="5" borderId="7" xfId="0" applyNumberFormat="1" applyFont="1" applyFill="1" applyBorder="1" applyAlignment="1">
      <alignment horizontal="right" vertical="center"/>
    </xf>
    <xf numFmtId="164" fontId="15" fillId="5" borderId="7" xfId="0" applyNumberFormat="1" applyFont="1" applyFill="1" applyBorder="1" applyAlignment="1">
      <alignment horizontal="right" vertical="center"/>
    </xf>
    <xf numFmtId="41" fontId="0" fillId="3" borderId="7" xfId="676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 wrapText="1"/>
    </xf>
    <xf numFmtId="9" fontId="0" fillId="4" borderId="7" xfId="1" applyNumberFormat="1" applyFont="1" applyFill="1" applyBorder="1" applyAlignment="1">
      <alignment horizontal="right" vertical="center"/>
    </xf>
    <xf numFmtId="41" fontId="0" fillId="4" borderId="1" xfId="676" applyFont="1" applyFill="1" applyBorder="1" applyAlignment="1">
      <alignment horizontal="center"/>
    </xf>
    <xf numFmtId="41" fontId="0" fillId="4" borderId="7" xfId="676" applyFont="1" applyFill="1" applyBorder="1" applyAlignment="1">
      <alignment horizontal="center"/>
    </xf>
    <xf numFmtId="166" fontId="8" fillId="0" borderId="1" xfId="0" applyNumberFormat="1" applyFont="1" applyBorder="1" applyAlignment="1">
      <alignment horizontal="right" vertical="center" wrapText="1"/>
    </xf>
    <xf numFmtId="166" fontId="8" fillId="4" borderId="7" xfId="0" applyNumberFormat="1" applyFont="1" applyFill="1" applyBorder="1" applyAlignment="1">
      <alignment horizontal="right" vertical="center" wrapText="1"/>
    </xf>
    <xf numFmtId="164" fontId="56" fillId="4" borderId="7" xfId="0" applyNumberFormat="1" applyFont="1" applyFill="1" applyBorder="1" applyAlignment="1">
      <alignment horizontal="right" vertical="center" wrapText="1"/>
    </xf>
    <xf numFmtId="1" fontId="30" fillId="4" borderId="7" xfId="0" applyNumberFormat="1" applyFont="1" applyFill="1" applyBorder="1" applyAlignment="1">
      <alignment horizontal="right" vertical="center" wrapText="1"/>
    </xf>
    <xf numFmtId="164" fontId="30" fillId="4" borderId="7" xfId="0" applyNumberFormat="1" applyFont="1" applyFill="1" applyBorder="1" applyAlignment="1">
      <alignment horizontal="right" vertical="center" wrapText="1"/>
    </xf>
    <xf numFmtId="0" fontId="11" fillId="4" borderId="0" xfId="0" applyFont="1" applyFill="1" applyAlignment="1">
      <alignment horizontal="right"/>
    </xf>
    <xf numFmtId="0" fontId="5" fillId="0" borderId="15" xfId="0" applyFont="1" applyFill="1" applyBorder="1" applyAlignment="1"/>
    <xf numFmtId="166" fontId="6" fillId="4" borderId="0" xfId="0" applyNumberFormat="1" applyFont="1" applyFill="1" applyBorder="1" applyAlignment="1">
      <alignment horizontal="right" vertical="center" wrapText="1"/>
    </xf>
    <xf numFmtId="172" fontId="8" fillId="4" borderId="7" xfId="0" applyNumberFormat="1" applyFont="1" applyFill="1" applyBorder="1" applyAlignment="1">
      <alignment horizontal="right" vertical="center" wrapText="1"/>
    </xf>
    <xf numFmtId="168" fontId="56" fillId="4" borderId="7" xfId="0" applyNumberFormat="1" applyFont="1" applyFill="1" applyBorder="1" applyAlignment="1">
      <alignment horizontal="right" vertical="center" wrapText="1"/>
    </xf>
    <xf numFmtId="164" fontId="14" fillId="11" borderId="0" xfId="0" applyNumberFormat="1" applyFont="1" applyFill="1"/>
    <xf numFmtId="0" fontId="14" fillId="11" borderId="0" xfId="0" applyFont="1" applyFill="1"/>
    <xf numFmtId="165" fontId="14" fillId="11" borderId="0" xfId="0" applyNumberFormat="1" applyFont="1" applyFill="1"/>
    <xf numFmtId="0" fontId="14" fillId="2" borderId="0" xfId="0" applyFont="1" applyFill="1"/>
    <xf numFmtId="164" fontId="14" fillId="6" borderId="19" xfId="0" applyNumberFormat="1" applyFont="1" applyFill="1" applyBorder="1" applyAlignment="1">
      <alignment horizontal="right" vertical="center"/>
    </xf>
    <xf numFmtId="0" fontId="15" fillId="8" borderId="16" xfId="0" applyFont="1" applyFill="1" applyBorder="1" applyAlignment="1">
      <alignment horizontal="center" vertical="center"/>
    </xf>
    <xf numFmtId="3" fontId="57" fillId="6" borderId="12" xfId="0" applyNumberFormat="1" applyFont="1" applyFill="1" applyBorder="1" applyAlignment="1">
      <alignment horizontal="right" vertical="center" readingOrder="1"/>
    </xf>
    <xf numFmtId="0" fontId="43" fillId="2" borderId="0" xfId="0" applyFont="1" applyFill="1" applyBorder="1" applyAlignment="1">
      <alignment horizontal="right" wrapText="1"/>
    </xf>
    <xf numFmtId="0" fontId="45" fillId="5" borderId="17" xfId="0" applyFont="1" applyFill="1" applyBorder="1" applyAlignment="1">
      <alignment horizontal="center"/>
    </xf>
    <xf numFmtId="0" fontId="45" fillId="5" borderId="0" xfId="0" applyFont="1" applyFill="1" applyBorder="1" applyAlignment="1">
      <alignment horizontal="center"/>
    </xf>
    <xf numFmtId="0" fontId="45" fillId="5" borderId="9" xfId="0" applyFont="1" applyFill="1" applyBorder="1" applyAlignment="1">
      <alignment horizontal="center"/>
    </xf>
    <xf numFmtId="0" fontId="45" fillId="2" borderId="0" xfId="0" applyFont="1" applyFill="1" applyBorder="1" applyAlignment="1">
      <alignment horizontal="right"/>
    </xf>
    <xf numFmtId="0" fontId="8" fillId="5" borderId="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37" fillId="8" borderId="4" xfId="0" applyFont="1" applyFill="1" applyBorder="1" applyAlignment="1">
      <alignment horizontal="center" vertical="center" wrapText="1"/>
    </xf>
    <xf numFmtId="0" fontId="35" fillId="5" borderId="3" xfId="0" applyFont="1" applyFill="1" applyBorder="1" applyAlignment="1">
      <alignment horizontal="center" vertical="center" wrapText="1"/>
    </xf>
    <xf numFmtId="0" fontId="35" fillId="5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0" fillId="4" borderId="10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35" fillId="5" borderId="5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2" fontId="0" fillId="6" borderId="4" xfId="0" applyNumberFormat="1" applyFill="1" applyBorder="1" applyAlignment="1">
      <alignment horizontal="left"/>
    </xf>
    <xf numFmtId="2" fontId="0" fillId="6" borderId="5" xfId="0" applyNumberFormat="1" applyFill="1" applyBorder="1" applyAlignment="1">
      <alignment horizontal="left"/>
    </xf>
  </cellXfs>
  <cellStyles count="677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" xfId="200" builtinId="8" hidden="1"/>
    <cellStyle name="Lien hypertexte" xfId="202" builtinId="8" hidden="1"/>
    <cellStyle name="Lien hypertexte" xfId="204" builtinId="8" hidden="1"/>
    <cellStyle name="Lien hypertexte" xfId="206" builtinId="8" hidden="1"/>
    <cellStyle name="Lien hypertexte" xfId="208" builtinId="8" hidden="1"/>
    <cellStyle name="Lien hypertexte" xfId="210" builtinId="8" hidden="1"/>
    <cellStyle name="Lien hypertexte" xfId="212" builtinId="8" hidden="1"/>
    <cellStyle name="Lien hypertexte" xfId="214" builtinId="8" hidden="1"/>
    <cellStyle name="Lien hypertexte" xfId="216" builtinId="8" hidden="1"/>
    <cellStyle name="Lien hypertexte" xfId="218" builtinId="8" hidden="1"/>
    <cellStyle name="Lien hypertexte" xfId="220" builtinId="8" hidden="1"/>
    <cellStyle name="Lien hypertexte" xfId="222" builtinId="8" hidden="1"/>
    <cellStyle name="Lien hypertexte" xfId="224" builtinId="8" hidden="1"/>
    <cellStyle name="Lien hypertexte" xfId="226" builtinId="8" hidden="1"/>
    <cellStyle name="Lien hypertexte" xfId="228" builtinId="8" hidden="1"/>
    <cellStyle name="Lien hypertexte" xfId="230" builtinId="8" hidden="1"/>
    <cellStyle name="Lien hypertexte" xfId="232" builtinId="8" hidden="1"/>
    <cellStyle name="Lien hypertexte" xfId="234" builtinId="8" hidden="1"/>
    <cellStyle name="Lien hypertexte" xfId="236" builtinId="8" hidden="1"/>
    <cellStyle name="Lien hypertexte" xfId="238" builtinId="8" hidden="1"/>
    <cellStyle name="Lien hypertexte" xfId="240" builtinId="8" hidden="1"/>
    <cellStyle name="Lien hypertexte" xfId="242" builtinId="8" hidden="1"/>
    <cellStyle name="Lien hypertexte" xfId="244" builtinId="8" hidden="1"/>
    <cellStyle name="Lien hypertexte" xfId="246" builtinId="8" hidden="1"/>
    <cellStyle name="Lien hypertexte" xfId="248" builtinId="8" hidden="1"/>
    <cellStyle name="Lien hypertexte" xfId="250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" xfId="314" builtinId="8" hidden="1"/>
    <cellStyle name="Lien hypertexte" xfId="316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4" builtinId="8" hidden="1"/>
    <cellStyle name="Lien hypertexte" xfId="416" builtinId="8" hidden="1"/>
    <cellStyle name="Lien hypertexte" xfId="418" builtinId="8" hidden="1"/>
    <cellStyle name="Lien hypertexte" xfId="420" builtinId="8" hidden="1"/>
    <cellStyle name="Lien hypertexte" xfId="422" builtinId="8" hidden="1"/>
    <cellStyle name="Lien hypertexte" xfId="424" builtinId="8" hidden="1"/>
    <cellStyle name="Lien hypertexte" xfId="426" builtinId="8" hidden="1"/>
    <cellStyle name="Lien hypertexte" xfId="428" builtinId="8" hidden="1"/>
    <cellStyle name="Lien hypertexte" xfId="430" builtinId="8" hidden="1"/>
    <cellStyle name="Lien hypertexte" xfId="432" builtinId="8" hidden="1"/>
    <cellStyle name="Lien hypertexte" xfId="434" builtinId="8" hidden="1"/>
    <cellStyle name="Lien hypertexte" xfId="436" builtinId="8" hidden="1"/>
    <cellStyle name="Lien hypertexte" xfId="438" builtinId="8" hidden="1"/>
    <cellStyle name="Lien hypertexte" xfId="440" builtinId="8" hidden="1"/>
    <cellStyle name="Lien hypertexte" xfId="442" builtinId="8" hidden="1"/>
    <cellStyle name="Lien hypertexte" xfId="444" builtinId="8" hidden="1"/>
    <cellStyle name="Lien hypertexte" xfId="446" builtinId="8" hidden="1"/>
    <cellStyle name="Lien hypertexte" xfId="448" builtinId="8" hidden="1"/>
    <cellStyle name="Lien hypertexte" xfId="450" builtinId="8" hidden="1"/>
    <cellStyle name="Lien hypertexte" xfId="452" builtinId="8" hidden="1"/>
    <cellStyle name="Lien hypertexte" xfId="454" builtinId="8" hidden="1"/>
    <cellStyle name="Lien hypertexte" xfId="456" builtinId="8" hidden="1"/>
    <cellStyle name="Lien hypertexte" xfId="458" builtinId="8" hidden="1"/>
    <cellStyle name="Lien hypertexte" xfId="460" builtinId="8" hidden="1"/>
    <cellStyle name="Lien hypertexte" xfId="462" builtinId="8" hidden="1"/>
    <cellStyle name="Lien hypertexte" xfId="464" builtinId="8" hidden="1"/>
    <cellStyle name="Lien hypertexte" xfId="466" builtinId="8" hidden="1"/>
    <cellStyle name="Lien hypertexte" xfId="468" builtinId="8" hidden="1"/>
    <cellStyle name="Lien hypertexte" xfId="470" builtinId="8" hidden="1"/>
    <cellStyle name="Lien hypertexte" xfId="472" builtinId="8" hidden="1"/>
    <cellStyle name="Lien hypertexte" xfId="474" builtinId="8" hidden="1"/>
    <cellStyle name="Lien hypertexte" xfId="476" builtinId="8" hidden="1"/>
    <cellStyle name="Lien hypertexte" xfId="478" builtinId="8" hidden="1"/>
    <cellStyle name="Lien hypertexte" xfId="480" builtinId="8" hidden="1"/>
    <cellStyle name="Lien hypertexte" xfId="482" builtinId="8" hidden="1"/>
    <cellStyle name="Lien hypertexte" xfId="484" builtinId="8" hidden="1"/>
    <cellStyle name="Lien hypertexte" xfId="486" builtinId="8" hidden="1"/>
    <cellStyle name="Lien hypertexte" xfId="488" builtinId="8" hidden="1"/>
    <cellStyle name="Lien hypertexte" xfId="490" builtinId="8" hidden="1"/>
    <cellStyle name="Lien hypertexte" xfId="492" builtinId="8" hidden="1"/>
    <cellStyle name="Lien hypertexte" xfId="494" builtinId="8" hidden="1"/>
    <cellStyle name="Lien hypertexte" xfId="496" builtinId="8" hidden="1"/>
    <cellStyle name="Lien hypertexte" xfId="498" builtinId="8" hidden="1"/>
    <cellStyle name="Lien hypertexte" xfId="500" builtinId="8" hidden="1"/>
    <cellStyle name="Lien hypertexte" xfId="502" builtinId="8" hidden="1"/>
    <cellStyle name="Lien hypertexte" xfId="504" builtinId="8" hidden="1"/>
    <cellStyle name="Lien hypertexte" xfId="506" builtinId="8" hidden="1"/>
    <cellStyle name="Lien hypertexte" xfId="508" builtinId="8" hidden="1"/>
    <cellStyle name="Lien hypertexte" xfId="510" builtinId="8" hidden="1"/>
    <cellStyle name="Lien hypertexte" xfId="512" builtinId="8" hidden="1"/>
    <cellStyle name="Lien hypertexte" xfId="514" builtinId="8" hidden="1"/>
    <cellStyle name="Lien hypertexte" xfId="516" builtinId="8" hidden="1"/>
    <cellStyle name="Lien hypertexte" xfId="518" builtinId="8" hidden="1"/>
    <cellStyle name="Lien hypertexte" xfId="520" builtinId="8" hidden="1"/>
    <cellStyle name="Lien hypertexte" xfId="522" builtinId="8" hidden="1"/>
    <cellStyle name="Lien hypertexte" xfId="524" builtinId="8" hidden="1"/>
    <cellStyle name="Lien hypertexte" xfId="526" builtinId="8" hidden="1"/>
    <cellStyle name="Lien hypertexte" xfId="528" builtinId="8" hidden="1"/>
    <cellStyle name="Lien hypertexte" xfId="530" builtinId="8" hidden="1"/>
    <cellStyle name="Lien hypertexte" xfId="532" builtinId="8" hidden="1"/>
    <cellStyle name="Lien hypertexte" xfId="534" builtinId="8" hidden="1"/>
    <cellStyle name="Lien hypertexte" xfId="536" builtinId="8" hidden="1"/>
    <cellStyle name="Lien hypertexte" xfId="538" builtinId="8" hidden="1"/>
    <cellStyle name="Lien hypertexte" xfId="540" builtinId="8" hidden="1"/>
    <cellStyle name="Lien hypertexte" xfId="542" builtinId="8" hidden="1"/>
    <cellStyle name="Lien hypertexte" xfId="544" builtinId="8" hidden="1"/>
    <cellStyle name="Lien hypertexte" xfId="546" builtinId="8" hidden="1"/>
    <cellStyle name="Lien hypertexte" xfId="548" builtinId="8" hidden="1"/>
    <cellStyle name="Lien hypertexte" xfId="550" builtinId="8" hidden="1"/>
    <cellStyle name="Lien hypertexte" xfId="552" builtinId="8" hidden="1"/>
    <cellStyle name="Lien hypertexte" xfId="554" builtinId="8" hidden="1"/>
    <cellStyle name="Lien hypertexte" xfId="556" builtinId="8" hidden="1"/>
    <cellStyle name="Lien hypertexte" xfId="558" builtinId="8" hidden="1"/>
    <cellStyle name="Lien hypertexte" xfId="560" builtinId="8" hidden="1"/>
    <cellStyle name="Lien hypertexte" xfId="562" builtinId="8" hidden="1"/>
    <cellStyle name="Lien hypertexte" xfId="564" builtinId="8" hidden="1"/>
    <cellStyle name="Lien hypertexte" xfId="566" builtinId="8" hidden="1"/>
    <cellStyle name="Lien hypertexte" xfId="568" builtinId="8" hidden="1"/>
    <cellStyle name="Lien hypertexte" xfId="570" builtinId="8" hidden="1"/>
    <cellStyle name="Lien hypertexte" xfId="572" builtinId="8" hidden="1"/>
    <cellStyle name="Lien hypertexte" xfId="574" builtinId="8" hidden="1"/>
    <cellStyle name="Lien hypertexte" xfId="576" builtinId="8" hidden="1"/>
    <cellStyle name="Lien hypertexte" xfId="578" builtinId="8" hidden="1"/>
    <cellStyle name="Lien hypertexte" xfId="580" builtinId="8" hidden="1"/>
    <cellStyle name="Lien hypertexte" xfId="582" builtinId="8" hidden="1"/>
    <cellStyle name="Lien hypertexte" xfId="584" builtinId="8" hidden="1"/>
    <cellStyle name="Lien hypertexte" xfId="586" builtinId="8" hidden="1"/>
    <cellStyle name="Lien hypertexte" xfId="588" builtinId="8" hidden="1"/>
    <cellStyle name="Lien hypertexte" xfId="590" builtinId="8" hidden="1"/>
    <cellStyle name="Lien hypertexte" xfId="592" builtinId="8" hidden="1"/>
    <cellStyle name="Lien hypertexte" xfId="594" builtinId="8" hidden="1"/>
    <cellStyle name="Lien hypertexte" xfId="596" builtinId="8" hidden="1"/>
    <cellStyle name="Lien hypertexte" xfId="598" builtinId="8" hidden="1"/>
    <cellStyle name="Lien hypertexte" xfId="600" builtinId="8" hidden="1"/>
    <cellStyle name="Lien hypertexte" xfId="602" builtinId="8" hidden="1"/>
    <cellStyle name="Lien hypertexte" xfId="604" builtinId="8" hidden="1"/>
    <cellStyle name="Lien hypertexte" xfId="606" builtinId="8" hidden="1"/>
    <cellStyle name="Lien hypertexte" xfId="608" builtinId="8" hidden="1"/>
    <cellStyle name="Lien hypertexte" xfId="610" builtinId="8" hidden="1"/>
    <cellStyle name="Lien hypertexte" xfId="612" builtinId="8" hidden="1"/>
    <cellStyle name="Lien hypertexte" xfId="614" builtinId="8" hidden="1"/>
    <cellStyle name="Lien hypertexte" xfId="616" builtinId="8" hidden="1"/>
    <cellStyle name="Lien hypertexte" xfId="618" builtinId="8" hidden="1"/>
    <cellStyle name="Lien hypertexte" xfId="620" builtinId="8" hidden="1"/>
    <cellStyle name="Lien hypertexte" xfId="622" builtinId="8" hidden="1"/>
    <cellStyle name="Lien hypertexte" xfId="624" builtinId="8" hidden="1"/>
    <cellStyle name="Lien hypertexte" xfId="626" builtinId="8" hidden="1"/>
    <cellStyle name="Lien hypertexte" xfId="628" builtinId="8" hidden="1"/>
    <cellStyle name="Lien hypertexte" xfId="630" builtinId="8" hidden="1"/>
    <cellStyle name="Lien hypertexte" xfId="632" builtinId="8" hidden="1"/>
    <cellStyle name="Lien hypertexte" xfId="634" builtinId="8" hidden="1"/>
    <cellStyle name="Lien hypertexte" xfId="636" builtinId="8" hidden="1"/>
    <cellStyle name="Lien hypertexte" xfId="638" builtinId="8" hidden="1"/>
    <cellStyle name="Lien hypertexte" xfId="640" builtinId="8" hidden="1"/>
    <cellStyle name="Lien hypertexte" xfId="642" builtinId="8" hidden="1"/>
    <cellStyle name="Lien hypertexte" xfId="644" builtinId="8" hidden="1"/>
    <cellStyle name="Lien hypertexte" xfId="646" builtinId="8" hidden="1"/>
    <cellStyle name="Lien hypertexte" xfId="648" builtinId="8" hidden="1"/>
    <cellStyle name="Lien hypertexte" xfId="650" builtinId="8" hidden="1"/>
    <cellStyle name="Lien hypertexte" xfId="652" builtinId="8" hidden="1"/>
    <cellStyle name="Lien hypertexte" xfId="654" builtinId="8" hidden="1"/>
    <cellStyle name="Lien hypertexte" xfId="656" builtinId="8" hidden="1"/>
    <cellStyle name="Lien hypertexte" xfId="658" builtinId="8" hidden="1"/>
    <cellStyle name="Lien hypertexte" xfId="660" builtinId="8" hidden="1"/>
    <cellStyle name="Lien hypertexte" xfId="662" builtinId="8" hidden="1"/>
    <cellStyle name="Lien hypertexte" xfId="664" builtinId="8" hidden="1"/>
    <cellStyle name="Lien hypertexte" xfId="666" builtinId="8" hidden="1"/>
    <cellStyle name="Lien hypertexte" xfId="668" builtinId="8" hidden="1"/>
    <cellStyle name="Lien hypertexte" xfId="670" builtinId="8" hidden="1"/>
    <cellStyle name="Lien hypertexte" xfId="672" builtinId="8" hidden="1"/>
    <cellStyle name="Lien hypertexte" xfId="674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Lien hypertexte visité" xfId="205" builtinId="9" hidden="1"/>
    <cellStyle name="Lien hypertexte visité" xfId="207" builtinId="9" hidden="1"/>
    <cellStyle name="Lien hypertexte visité" xfId="209" builtinId="9" hidden="1"/>
    <cellStyle name="Lien hypertexte visité" xfId="211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5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Lien hypertexte visité" xfId="315" builtinId="9" hidden="1"/>
    <cellStyle name="Lien hypertexte visité" xfId="317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5" builtinId="9" hidden="1"/>
    <cellStyle name="Lien hypertexte visité" xfId="417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25" builtinId="9" hidden="1"/>
    <cellStyle name="Lien hypertexte visité" xfId="427" builtinId="9" hidden="1"/>
    <cellStyle name="Lien hypertexte visité" xfId="429" builtinId="9" hidden="1"/>
    <cellStyle name="Lien hypertexte visité" xfId="431" builtinId="9" hidden="1"/>
    <cellStyle name="Lien hypertexte visité" xfId="433" builtinId="9" hidden="1"/>
    <cellStyle name="Lien hypertexte visité" xfId="435" builtinId="9" hidden="1"/>
    <cellStyle name="Lien hypertexte visité" xfId="437" builtinId="9" hidden="1"/>
    <cellStyle name="Lien hypertexte visité" xfId="439" builtinId="9" hidden="1"/>
    <cellStyle name="Lien hypertexte visité" xfId="441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49" builtinId="9" hidden="1"/>
    <cellStyle name="Lien hypertexte visité" xfId="451" builtinId="9" hidden="1"/>
    <cellStyle name="Lien hypertexte visité" xfId="453" builtinId="9" hidden="1"/>
    <cellStyle name="Lien hypertexte visité" xfId="455" builtinId="9" hidden="1"/>
    <cellStyle name="Lien hypertexte visité" xfId="457" builtinId="9" hidden="1"/>
    <cellStyle name="Lien hypertexte visité" xfId="459" builtinId="9" hidden="1"/>
    <cellStyle name="Lien hypertexte visité" xfId="461" builtinId="9" hidden="1"/>
    <cellStyle name="Lien hypertexte visité" xfId="463" builtinId="9" hidden="1"/>
    <cellStyle name="Lien hypertexte visité" xfId="465" builtinId="9" hidden="1"/>
    <cellStyle name="Lien hypertexte visité" xfId="467" builtinId="9" hidden="1"/>
    <cellStyle name="Lien hypertexte visité" xfId="469" builtinId="9" hidden="1"/>
    <cellStyle name="Lien hypertexte visité" xfId="471" builtinId="9" hidden="1"/>
    <cellStyle name="Lien hypertexte visité" xfId="473" builtinId="9" hidden="1"/>
    <cellStyle name="Lien hypertexte visité" xfId="475" builtinId="9" hidden="1"/>
    <cellStyle name="Lien hypertexte visité" xfId="477" builtinId="9" hidden="1"/>
    <cellStyle name="Lien hypertexte visité" xfId="479" builtinId="9" hidden="1"/>
    <cellStyle name="Lien hypertexte visité" xfId="481" builtinId="9" hidden="1"/>
    <cellStyle name="Lien hypertexte visité" xfId="483" builtinId="9" hidden="1"/>
    <cellStyle name="Lien hypertexte visité" xfId="485" builtinId="9" hidden="1"/>
    <cellStyle name="Lien hypertexte visité" xfId="487" builtinId="9" hidden="1"/>
    <cellStyle name="Lien hypertexte visité" xfId="489" builtinId="9" hidden="1"/>
    <cellStyle name="Lien hypertexte visité" xfId="491" builtinId="9" hidden="1"/>
    <cellStyle name="Lien hypertexte visité" xfId="493" builtinId="9" hidden="1"/>
    <cellStyle name="Lien hypertexte visité" xfId="495" builtinId="9" hidden="1"/>
    <cellStyle name="Lien hypertexte visité" xfId="497" builtinId="9" hidden="1"/>
    <cellStyle name="Lien hypertexte visité" xfId="499" builtinId="9" hidden="1"/>
    <cellStyle name="Lien hypertexte visité" xfId="501" builtinId="9" hidden="1"/>
    <cellStyle name="Lien hypertexte visité" xfId="503" builtinId="9" hidden="1"/>
    <cellStyle name="Lien hypertexte visité" xfId="505" builtinId="9" hidden="1"/>
    <cellStyle name="Lien hypertexte visité" xfId="507" builtinId="9" hidden="1"/>
    <cellStyle name="Lien hypertexte visité" xfId="509" builtinId="9" hidden="1"/>
    <cellStyle name="Lien hypertexte visité" xfId="511" builtinId="9" hidden="1"/>
    <cellStyle name="Lien hypertexte visité" xfId="513" builtinId="9" hidden="1"/>
    <cellStyle name="Lien hypertexte visité" xfId="515" builtinId="9" hidden="1"/>
    <cellStyle name="Lien hypertexte visité" xfId="517" builtinId="9" hidden="1"/>
    <cellStyle name="Lien hypertexte visité" xfId="519" builtinId="9" hidden="1"/>
    <cellStyle name="Lien hypertexte visité" xfId="521" builtinId="9" hidden="1"/>
    <cellStyle name="Lien hypertexte visité" xfId="523" builtinId="9" hidden="1"/>
    <cellStyle name="Lien hypertexte visité" xfId="525" builtinId="9" hidden="1"/>
    <cellStyle name="Lien hypertexte visité" xfId="527" builtinId="9" hidden="1"/>
    <cellStyle name="Lien hypertexte visité" xfId="529" builtinId="9" hidden="1"/>
    <cellStyle name="Lien hypertexte visité" xfId="531" builtinId="9" hidden="1"/>
    <cellStyle name="Lien hypertexte visité" xfId="533" builtinId="9" hidden="1"/>
    <cellStyle name="Lien hypertexte visité" xfId="535" builtinId="9" hidden="1"/>
    <cellStyle name="Lien hypertexte visité" xfId="537" builtinId="9" hidden="1"/>
    <cellStyle name="Lien hypertexte visité" xfId="539" builtinId="9" hidden="1"/>
    <cellStyle name="Lien hypertexte visité" xfId="541" builtinId="9" hidden="1"/>
    <cellStyle name="Lien hypertexte visité" xfId="543" builtinId="9" hidden="1"/>
    <cellStyle name="Lien hypertexte visité" xfId="545" builtinId="9" hidden="1"/>
    <cellStyle name="Lien hypertexte visité" xfId="547" builtinId="9" hidden="1"/>
    <cellStyle name="Lien hypertexte visité" xfId="549" builtinId="9" hidden="1"/>
    <cellStyle name="Lien hypertexte visité" xfId="551" builtinId="9" hidden="1"/>
    <cellStyle name="Lien hypertexte visité" xfId="553" builtinId="9" hidden="1"/>
    <cellStyle name="Lien hypertexte visité" xfId="555" builtinId="9" hidden="1"/>
    <cellStyle name="Lien hypertexte visité" xfId="557" builtinId="9" hidden="1"/>
    <cellStyle name="Lien hypertexte visité" xfId="559" builtinId="9" hidden="1"/>
    <cellStyle name="Lien hypertexte visité" xfId="561" builtinId="9" hidden="1"/>
    <cellStyle name="Lien hypertexte visité" xfId="563" builtinId="9" hidden="1"/>
    <cellStyle name="Lien hypertexte visité" xfId="565" builtinId="9" hidden="1"/>
    <cellStyle name="Lien hypertexte visité" xfId="567" builtinId="9" hidden="1"/>
    <cellStyle name="Lien hypertexte visité" xfId="569" builtinId="9" hidden="1"/>
    <cellStyle name="Lien hypertexte visité" xfId="571" builtinId="9" hidden="1"/>
    <cellStyle name="Lien hypertexte visité" xfId="573" builtinId="9" hidden="1"/>
    <cellStyle name="Lien hypertexte visité" xfId="575" builtinId="9" hidden="1"/>
    <cellStyle name="Lien hypertexte visité" xfId="577" builtinId="9" hidden="1"/>
    <cellStyle name="Lien hypertexte visité" xfId="579" builtinId="9" hidden="1"/>
    <cellStyle name="Lien hypertexte visité" xfId="581" builtinId="9" hidden="1"/>
    <cellStyle name="Lien hypertexte visité" xfId="583" builtinId="9" hidden="1"/>
    <cellStyle name="Lien hypertexte visité" xfId="585" builtinId="9" hidden="1"/>
    <cellStyle name="Lien hypertexte visité" xfId="587" builtinId="9" hidden="1"/>
    <cellStyle name="Lien hypertexte visité" xfId="589" builtinId="9" hidden="1"/>
    <cellStyle name="Lien hypertexte visité" xfId="591" builtinId="9" hidden="1"/>
    <cellStyle name="Lien hypertexte visité" xfId="593" builtinId="9" hidden="1"/>
    <cellStyle name="Lien hypertexte visité" xfId="595" builtinId="9" hidden="1"/>
    <cellStyle name="Lien hypertexte visité" xfId="597" builtinId="9" hidden="1"/>
    <cellStyle name="Lien hypertexte visité" xfId="599" builtinId="9" hidden="1"/>
    <cellStyle name="Lien hypertexte visité" xfId="601" builtinId="9" hidden="1"/>
    <cellStyle name="Lien hypertexte visité" xfId="603" builtinId="9" hidden="1"/>
    <cellStyle name="Lien hypertexte visité" xfId="605" builtinId="9" hidden="1"/>
    <cellStyle name="Lien hypertexte visité" xfId="607" builtinId="9" hidden="1"/>
    <cellStyle name="Lien hypertexte visité" xfId="609" builtinId="9" hidden="1"/>
    <cellStyle name="Lien hypertexte visité" xfId="611" builtinId="9" hidden="1"/>
    <cellStyle name="Lien hypertexte visité" xfId="613" builtinId="9" hidden="1"/>
    <cellStyle name="Lien hypertexte visité" xfId="615" builtinId="9" hidden="1"/>
    <cellStyle name="Lien hypertexte visité" xfId="617" builtinId="9" hidden="1"/>
    <cellStyle name="Lien hypertexte visité" xfId="619" builtinId="9" hidden="1"/>
    <cellStyle name="Lien hypertexte visité" xfId="621" builtinId="9" hidden="1"/>
    <cellStyle name="Lien hypertexte visité" xfId="623" builtinId="9" hidden="1"/>
    <cellStyle name="Lien hypertexte visité" xfId="625" builtinId="9" hidden="1"/>
    <cellStyle name="Lien hypertexte visité" xfId="627" builtinId="9" hidden="1"/>
    <cellStyle name="Lien hypertexte visité" xfId="629" builtinId="9" hidden="1"/>
    <cellStyle name="Lien hypertexte visité" xfId="631" builtinId="9" hidden="1"/>
    <cellStyle name="Lien hypertexte visité" xfId="633" builtinId="9" hidden="1"/>
    <cellStyle name="Lien hypertexte visité" xfId="635" builtinId="9" hidden="1"/>
    <cellStyle name="Lien hypertexte visité" xfId="637" builtinId="9" hidden="1"/>
    <cellStyle name="Lien hypertexte visité" xfId="639" builtinId="9" hidden="1"/>
    <cellStyle name="Lien hypertexte visité" xfId="641" builtinId="9" hidden="1"/>
    <cellStyle name="Lien hypertexte visité" xfId="643" builtinId="9" hidden="1"/>
    <cellStyle name="Lien hypertexte visité" xfId="645" builtinId="9" hidden="1"/>
    <cellStyle name="Lien hypertexte visité" xfId="647" builtinId="9" hidden="1"/>
    <cellStyle name="Lien hypertexte visité" xfId="649" builtinId="9" hidden="1"/>
    <cellStyle name="Lien hypertexte visité" xfId="651" builtinId="9" hidden="1"/>
    <cellStyle name="Lien hypertexte visité" xfId="653" builtinId="9" hidden="1"/>
    <cellStyle name="Lien hypertexte visité" xfId="655" builtinId="9" hidden="1"/>
    <cellStyle name="Lien hypertexte visité" xfId="657" builtinId="9" hidden="1"/>
    <cellStyle name="Lien hypertexte visité" xfId="659" builtinId="9" hidden="1"/>
    <cellStyle name="Lien hypertexte visité" xfId="661" builtinId="9" hidden="1"/>
    <cellStyle name="Lien hypertexte visité" xfId="663" builtinId="9" hidden="1"/>
    <cellStyle name="Lien hypertexte visité" xfId="665" builtinId="9" hidden="1"/>
    <cellStyle name="Lien hypertexte visité" xfId="667" builtinId="9" hidden="1"/>
    <cellStyle name="Lien hypertexte visité" xfId="669" builtinId="9" hidden="1"/>
    <cellStyle name="Lien hypertexte visité" xfId="671" builtinId="9" hidden="1"/>
    <cellStyle name="Lien hypertexte visité" xfId="673" builtinId="9" hidden="1"/>
    <cellStyle name="Lien hypertexte visité" xfId="675" builtinId="9" hidden="1"/>
    <cellStyle name="Milliers [0]" xfId="676" builtinId="6"/>
    <cellStyle name="Normal" xfId="0" builtinId="0"/>
    <cellStyle name="Pourcentag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5" name="8ua9KcrqmKgcjM: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6" name="AutoShape 2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9</xdr:col>
      <xdr:colOff>101600</xdr:colOff>
      <xdr:row>1</xdr:row>
      <xdr:rowOff>101600</xdr:rowOff>
    </xdr:from>
    <xdr:to>
      <xdr:col>13</xdr:col>
      <xdr:colOff>206375</xdr:colOff>
      <xdr:row>10</xdr:row>
      <xdr:rowOff>74989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11200" y="292100"/>
          <a:ext cx="5537200" cy="2106384"/>
        </a:xfrm>
        <a:prstGeom prst="rect">
          <a:avLst/>
        </a:prstGeom>
      </xdr:spPr>
    </xdr:pic>
    <xdr:clientData/>
  </xdr:twoCellAnchor>
  <xdr:twoCellAnchor editAs="oneCell">
    <xdr:from>
      <xdr:col>6</xdr:col>
      <xdr:colOff>384086</xdr:colOff>
      <xdr:row>248</xdr:row>
      <xdr:rowOff>291193</xdr:rowOff>
    </xdr:from>
    <xdr:to>
      <xdr:col>7</xdr:col>
      <xdr:colOff>1850569</xdr:colOff>
      <xdr:row>252</xdr:row>
      <xdr:rowOff>180068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2F15F7D-9796-4DB1-AA24-0805AB6C2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27344" y="48721735"/>
          <a:ext cx="2892511" cy="11593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izonline.sharepoint.com/sites/ProgrammeEnergiesDurablePED-UsageProductif/Freigegebene%20Dokumente/Usage%20Productif/Trame%20%20de%20Suivi%20donn&#233;es%20d'exploitation%20%20projets%20ERUP%20Version%20Auto_fiche%20de%20travail_D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_Infos generales_projets"/>
      <sheetName val="Accueil"/>
      <sheetName val="#_Capitalisation"/>
      <sheetName val="#_Recapitulatif projets "/>
      <sheetName val="#_Liste activités_projets"/>
      <sheetName val="#1_Glace_Saloulou"/>
      <sheetName val="#2_Huile_Ndem"/>
      <sheetName val="#3_Couture_Rufisque"/>
      <sheetName val="#4_Moulin &amp; Presse_Saré Bassi"/>
      <sheetName val="#5_Presse_Samé Kanta"/>
      <sheetName val="#6_Moulin_Diokoul"/>
      <sheetName val="#7_Plateforme_Mboro "/>
      <sheetName val="#8_Plateforme_Mil_keur Maba"/>
      <sheetName val="#9_Plateforme_Mil_Dongoro"/>
      <sheetName val="#10_Plateforme_Mil_Godaguene"/>
      <sheetName val="#11_Pompage_XOR"/>
      <sheetName val="#12_Plateforme_djiomdi"/>
      <sheetName val="#13_Plateforme_pamene"/>
      <sheetName val="#14_chbre froide_SIPA_orkadiaré"/>
      <sheetName val="#15_chbre froide_Sinthiou D.D"/>
      <sheetName val="#16_presse à huile_E4I"/>
      <sheetName val="#17_genereteur_chbre froide_E4I"/>
      <sheetName val="#18_sechoir solaire_Bignarabe"/>
      <sheetName val="#19_sechoir solaire_Kadiamor"/>
      <sheetName val="#20_sechoir solaire_Diattacound"/>
      <sheetName val="#21_menuiserie metallique M_Y_F"/>
      <sheetName val="#22_menuiserie metallique_Kolda"/>
      <sheetName val="#23_menuiserie metallique_Kounk"/>
      <sheetName val="#24_typha_Ronkh"/>
      <sheetName val="#25_typha_Pomo"/>
      <sheetName val="#26_terria_Ndioufféne"/>
      <sheetName val="#27_terria_Kadam"/>
      <sheetName val="#28_Dessalement_Gandiaye"/>
      <sheetName val="#29_Pompage_ bananeraie_sank"/>
      <sheetName val="#30_Pompage_ bananeraie_Koar"/>
      <sheetName val="#31_sechoir solaire_Kolda"/>
      <sheetName val="#32_sechoir solaire_Tambacounda"/>
      <sheetName val="#33_menuiserie metallique_Dabo"/>
      <sheetName val="#34_menuiserie metallique_MYF2"/>
      <sheetName val="#35_Congelateurs_E4I"/>
      <sheetName val="#36_Centre_val_dechet_Ndianda"/>
    </sheetNames>
    <sheetDataSet>
      <sheetData sheetId="0"/>
      <sheetData sheetId="1"/>
      <sheetData sheetId="2">
        <row r="24">
          <cell r="D24">
            <v>0.1</v>
          </cell>
        </row>
        <row r="25">
          <cell r="D25">
            <v>0.7</v>
          </cell>
        </row>
        <row r="26">
          <cell r="D26">
            <v>0.20000000000000007</v>
          </cell>
        </row>
        <row r="27">
          <cell r="C27">
            <v>0.12</v>
          </cell>
        </row>
        <row r="28">
          <cell r="C28">
            <v>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91"/>
  <sheetViews>
    <sheetView tabSelected="1" topLeftCell="A162" zoomScale="70" zoomScaleNormal="70" workbookViewId="0">
      <selection activeCell="C188" sqref="C188"/>
    </sheetView>
  </sheetViews>
  <sheetFormatPr baseColWidth="10" defaultRowHeight="15.5" x14ac:dyDescent="0.35"/>
  <cols>
    <col min="1" max="1" width="6.83203125" style="1" customWidth="1"/>
    <col min="2" max="2" width="37.08203125" customWidth="1"/>
    <col min="3" max="3" width="14.08203125" customWidth="1"/>
    <col min="4" max="4" width="19.08203125" customWidth="1"/>
    <col min="5" max="5" width="18.75" customWidth="1"/>
    <col min="6" max="6" width="18" customWidth="1"/>
    <col min="7" max="7" width="18.75" customWidth="1"/>
    <col min="8" max="8" width="25.58203125" customWidth="1"/>
    <col min="9" max="9" width="20.33203125" customWidth="1"/>
    <col min="10" max="10" width="18.5" style="1" customWidth="1"/>
    <col min="11" max="11" width="17.5" style="1" customWidth="1"/>
    <col min="12" max="12" width="17.75" style="1" customWidth="1"/>
    <col min="13" max="13" width="17.58203125" style="1" customWidth="1"/>
    <col min="14" max="14" width="13.33203125" style="1" bestFit="1" customWidth="1"/>
    <col min="15" max="15" width="14" style="1" customWidth="1"/>
    <col min="16" max="16" width="10.83203125" style="1" bestFit="1" customWidth="1"/>
    <col min="17" max="17" width="16" customWidth="1"/>
    <col min="18" max="18" width="16.58203125" customWidth="1"/>
    <col min="19" max="19" width="14.83203125" customWidth="1"/>
    <col min="20" max="20" width="10.75" bestFit="1" customWidth="1"/>
    <col min="21" max="21" width="16.5" customWidth="1"/>
    <col min="22" max="22" width="13.5" customWidth="1"/>
    <col min="23" max="23" width="11.33203125" customWidth="1"/>
    <col min="24" max="35" width="10.83203125" style="1"/>
  </cols>
  <sheetData>
    <row r="1" spans="2:39" s="1" customFormat="1" x14ac:dyDescent="0.35"/>
    <row r="2" spans="2:39" s="1" customFormat="1" ht="31" x14ac:dyDescent="0.7">
      <c r="B2" s="121" t="s">
        <v>106</v>
      </c>
      <c r="I2"/>
    </row>
    <row r="3" spans="2:39" s="1" customFormat="1" ht="21" x14ac:dyDescent="0.5">
      <c r="B3" s="122" t="s">
        <v>343</v>
      </c>
      <c r="C3" s="120"/>
      <c r="D3" s="120"/>
      <c r="E3" s="120"/>
      <c r="F3" s="120"/>
      <c r="G3" s="120"/>
      <c r="H3" s="120"/>
      <c r="I3" s="120"/>
    </row>
    <row r="4" spans="2:39" s="1" customFormat="1" ht="16" thickBot="1" x14ac:dyDescent="0.4"/>
    <row r="5" spans="2:39" s="1" customFormat="1" ht="19" thickBot="1" x14ac:dyDescent="0.5">
      <c r="B5" s="295" t="s">
        <v>322</v>
      </c>
    </row>
    <row r="6" spans="2:39" s="1" customFormat="1" ht="18.5" x14ac:dyDescent="0.45">
      <c r="B6" s="296" t="s">
        <v>322</v>
      </c>
    </row>
    <row r="7" spans="2:39" s="1" customFormat="1" ht="19" thickBot="1" x14ac:dyDescent="0.5">
      <c r="B7" s="297" t="s">
        <v>321</v>
      </c>
    </row>
    <row r="8" spans="2:39" s="1" customFormat="1" ht="16" thickBot="1" x14ac:dyDescent="0.4">
      <c r="B8" s="2" t="s">
        <v>0</v>
      </c>
      <c r="C8" s="3"/>
    </row>
    <row r="9" spans="2:39" s="1" customFormat="1" ht="16" thickBot="1" x14ac:dyDescent="0.4">
      <c r="B9" s="2" t="s">
        <v>1</v>
      </c>
      <c r="C9" s="4"/>
    </row>
    <row r="10" spans="2:39" s="1" customFormat="1" ht="16" thickBot="1" x14ac:dyDescent="0.4">
      <c r="B10" s="2" t="s">
        <v>2</v>
      </c>
      <c r="C10" s="5"/>
    </row>
    <row r="11" spans="2:39" s="1" customFormat="1" ht="16" thickBot="1" x14ac:dyDescent="0.4">
      <c r="B11" s="2" t="s">
        <v>3</v>
      </c>
      <c r="C11" s="6"/>
    </row>
    <row r="12" spans="2:39" s="1" customFormat="1" x14ac:dyDescent="0.35"/>
    <row r="13" spans="2:39" ht="21" x14ac:dyDescent="0.5">
      <c r="B13" s="7" t="s">
        <v>111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Q13" s="1"/>
      <c r="R13" s="1"/>
      <c r="S13" s="1"/>
      <c r="T13" s="1"/>
      <c r="U13" s="1"/>
      <c r="V13" s="1"/>
      <c r="W13" s="1"/>
    </row>
    <row r="14" spans="2:39" s="1" customFormat="1" ht="16" thickBot="1" x14ac:dyDescent="0.4"/>
    <row r="15" spans="2:39" ht="18.649999999999999" customHeight="1" thickBot="1" x14ac:dyDescent="0.4">
      <c r="B15" s="136" t="s">
        <v>110</v>
      </c>
      <c r="C15" s="368" t="s">
        <v>197</v>
      </c>
      <c r="D15" s="368" t="s">
        <v>205</v>
      </c>
      <c r="E15" s="358" t="s">
        <v>195</v>
      </c>
      <c r="F15" s="374"/>
      <c r="G15" s="360" t="s">
        <v>4</v>
      </c>
      <c r="H15" s="359"/>
      <c r="I15" s="356" t="s">
        <v>5</v>
      </c>
      <c r="J15" s="358" t="s">
        <v>200</v>
      </c>
      <c r="K15" s="359"/>
      <c r="L15" s="356" t="s">
        <v>160</v>
      </c>
      <c r="M15" s="356" t="s">
        <v>159</v>
      </c>
      <c r="N15" s="360" t="s">
        <v>98</v>
      </c>
      <c r="O15" s="361"/>
      <c r="P15" s="359"/>
      <c r="Q15" s="187" t="s">
        <v>130</v>
      </c>
      <c r="R15" s="1"/>
      <c r="S15" s="1"/>
      <c r="T15" s="1"/>
      <c r="U15" s="1"/>
      <c r="V15" s="1"/>
      <c r="W15" s="1"/>
      <c r="AJ15" s="1"/>
      <c r="AK15" s="1"/>
      <c r="AL15" s="1"/>
    </row>
    <row r="16" spans="2:39" ht="31.5" thickBot="1" x14ac:dyDescent="0.4">
      <c r="B16" s="1"/>
      <c r="C16" s="369"/>
      <c r="D16" s="369"/>
      <c r="E16" s="180" t="s">
        <v>11</v>
      </c>
      <c r="F16" s="180" t="s">
        <v>193</v>
      </c>
      <c r="G16" s="9" t="s">
        <v>6</v>
      </c>
      <c r="H16" s="9" t="s">
        <v>157</v>
      </c>
      <c r="I16" s="357"/>
      <c r="J16" s="195" t="s">
        <v>206</v>
      </c>
      <c r="K16" s="195" t="s">
        <v>207</v>
      </c>
      <c r="L16" s="357"/>
      <c r="M16" s="357"/>
      <c r="N16" s="9" t="s">
        <v>216</v>
      </c>
      <c r="O16" s="195" t="s">
        <v>217</v>
      </c>
      <c r="P16" s="9" t="s">
        <v>7</v>
      </c>
      <c r="Q16" s="188"/>
      <c r="S16" s="1"/>
      <c r="T16" s="1"/>
      <c r="U16" s="1"/>
      <c r="V16" s="1"/>
      <c r="W16" s="1"/>
      <c r="AJ16" s="1"/>
      <c r="AK16" s="1"/>
      <c r="AL16" s="1"/>
      <c r="AM16" s="1"/>
    </row>
    <row r="17" spans="2:39" ht="17" thickBot="1" x14ac:dyDescent="0.4">
      <c r="B17" s="10" t="s">
        <v>326</v>
      </c>
      <c r="C17" s="184" t="s">
        <v>198</v>
      </c>
      <c r="D17" s="184">
        <v>1</v>
      </c>
      <c r="E17" s="177">
        <v>250</v>
      </c>
      <c r="F17" s="177" t="s">
        <v>194</v>
      </c>
      <c r="G17" s="177">
        <v>4.6859999999999999</v>
      </c>
      <c r="H17" s="177">
        <v>4.6859999999999999</v>
      </c>
      <c r="I17" s="201">
        <v>1000000</v>
      </c>
      <c r="J17" s="181">
        <v>1</v>
      </c>
      <c r="K17" s="181">
        <v>0</v>
      </c>
      <c r="L17" s="177">
        <f>H17*N17*D17</f>
        <v>18.744</v>
      </c>
      <c r="M17" s="202">
        <f t="shared" ref="M17:M33" si="0">(H17*N17*D17)/Q17</f>
        <v>26.777142857142859</v>
      </c>
      <c r="N17" s="177">
        <v>4</v>
      </c>
      <c r="O17" s="177">
        <v>4</v>
      </c>
      <c r="P17" s="203">
        <v>300</v>
      </c>
      <c r="Q17" s="177">
        <v>0.7</v>
      </c>
      <c r="R17" s="1"/>
      <c r="S17" s="1"/>
      <c r="T17" s="1"/>
      <c r="U17" s="1"/>
      <c r="V17" s="1"/>
      <c r="W17" s="1"/>
      <c r="AJ17" s="1"/>
      <c r="AK17" s="1"/>
      <c r="AL17" s="1"/>
      <c r="AM17" s="1"/>
    </row>
    <row r="18" spans="2:39" ht="18.649999999999999" customHeight="1" thickBot="1" x14ac:dyDescent="0.4">
      <c r="B18" s="10" t="s">
        <v>328</v>
      </c>
      <c r="C18" s="184"/>
      <c r="D18" s="184"/>
      <c r="E18" s="181">
        <v>300</v>
      </c>
      <c r="F18" s="177" t="s">
        <v>194</v>
      </c>
      <c r="G18" s="173">
        <v>2.2000000000000002</v>
      </c>
      <c r="H18" s="173">
        <v>2.2000000000000002</v>
      </c>
      <c r="I18" s="174">
        <v>700000</v>
      </c>
      <c r="J18" s="178"/>
      <c r="K18" s="178"/>
      <c r="L18" s="173"/>
      <c r="M18" s="175"/>
      <c r="N18" s="173"/>
      <c r="O18" s="173"/>
      <c r="P18" s="176"/>
      <c r="Q18" s="173"/>
      <c r="R18" s="1"/>
      <c r="S18" s="1"/>
      <c r="T18" s="1"/>
      <c r="U18" s="1"/>
      <c r="V18" s="1"/>
      <c r="W18" s="1"/>
      <c r="AJ18" s="1"/>
      <c r="AK18" s="1"/>
      <c r="AL18" s="1"/>
      <c r="AM18" s="1"/>
    </row>
    <row r="19" spans="2:39" ht="17.149999999999999" customHeight="1" thickBot="1" x14ac:dyDescent="0.4">
      <c r="B19" s="10" t="s">
        <v>327</v>
      </c>
      <c r="C19" s="184" t="s">
        <v>198</v>
      </c>
      <c r="D19" s="184">
        <v>1</v>
      </c>
      <c r="E19" s="177">
        <v>150</v>
      </c>
      <c r="F19" s="177" t="s">
        <v>194</v>
      </c>
      <c r="G19" s="177">
        <v>4.4000000000000004</v>
      </c>
      <c r="H19" s="177">
        <v>4.4000000000000004</v>
      </c>
      <c r="I19" s="201">
        <v>1000000</v>
      </c>
      <c r="J19" s="181">
        <v>0.9</v>
      </c>
      <c r="K19" s="181">
        <v>0.1</v>
      </c>
      <c r="L19" s="177">
        <f>H19*N19*D19</f>
        <v>17.600000000000001</v>
      </c>
      <c r="M19" s="202">
        <f>(H19*N19*D19)/Q19</f>
        <v>25.142857142857146</v>
      </c>
      <c r="N19" s="177">
        <v>4</v>
      </c>
      <c r="O19" s="177">
        <v>3</v>
      </c>
      <c r="P19" s="203">
        <v>300</v>
      </c>
      <c r="Q19" s="177">
        <v>0.7</v>
      </c>
      <c r="R19" s="1"/>
      <c r="S19" s="1"/>
      <c r="T19" s="1"/>
      <c r="U19" s="1"/>
      <c r="V19" s="1"/>
      <c r="W19" s="1"/>
      <c r="AJ19" s="1"/>
      <c r="AK19" s="1"/>
      <c r="AL19" s="1"/>
      <c r="AM19" s="1"/>
    </row>
    <row r="20" spans="2:39" ht="18.649999999999999" customHeight="1" thickBot="1" x14ac:dyDescent="0.4">
      <c r="B20" s="10" t="s">
        <v>329</v>
      </c>
      <c r="C20" s="184"/>
      <c r="D20" s="184"/>
      <c r="E20" s="181">
        <v>150</v>
      </c>
      <c r="F20" s="177" t="s">
        <v>194</v>
      </c>
      <c r="G20" s="173">
        <v>2.2000000000000002</v>
      </c>
      <c r="H20" s="173">
        <v>2.2000000000000002</v>
      </c>
      <c r="I20" s="174">
        <v>700000</v>
      </c>
      <c r="J20" s="178"/>
      <c r="K20" s="178"/>
      <c r="L20" s="173"/>
      <c r="M20" s="175"/>
      <c r="N20" s="173"/>
      <c r="O20" s="173"/>
      <c r="P20" s="176"/>
      <c r="Q20" s="173"/>
      <c r="R20" s="1"/>
      <c r="S20" s="1"/>
      <c r="T20" s="1"/>
      <c r="U20" s="1"/>
      <c r="V20" s="1"/>
      <c r="W20" s="1"/>
      <c r="AJ20" s="1"/>
      <c r="AK20" s="1"/>
      <c r="AL20" s="1"/>
      <c r="AM20" s="1"/>
    </row>
    <row r="21" spans="2:39" ht="17" thickBot="1" x14ac:dyDescent="0.4">
      <c r="B21" s="10" t="s">
        <v>330</v>
      </c>
      <c r="C21" s="184" t="s">
        <v>198</v>
      </c>
      <c r="D21" s="184">
        <v>1</v>
      </c>
      <c r="E21" s="177">
        <v>800</v>
      </c>
      <c r="F21" s="177" t="s">
        <v>194</v>
      </c>
      <c r="G21" s="177">
        <v>0.4</v>
      </c>
      <c r="H21" s="177">
        <v>0.4</v>
      </c>
      <c r="I21" s="201">
        <v>1500000</v>
      </c>
      <c r="J21" s="181" t="s">
        <v>153</v>
      </c>
      <c r="K21" s="181" t="s">
        <v>153</v>
      </c>
      <c r="L21" s="177">
        <f>H21*N21*D21</f>
        <v>2.4000000000000004</v>
      </c>
      <c r="M21" s="202">
        <f t="shared" ref="M21" si="1">(H21*N21*D21)/Q21</f>
        <v>3.4285714285714293</v>
      </c>
      <c r="N21" s="177">
        <v>6</v>
      </c>
      <c r="O21" s="177">
        <v>5</v>
      </c>
      <c r="P21" s="203">
        <v>200</v>
      </c>
      <c r="Q21" s="177">
        <v>0.7</v>
      </c>
      <c r="R21" s="1"/>
      <c r="S21" s="1"/>
      <c r="T21" s="1"/>
      <c r="U21" s="1"/>
      <c r="V21" s="1"/>
      <c r="W21" s="1"/>
      <c r="AJ21" s="1"/>
      <c r="AK21" s="1"/>
      <c r="AL21" s="1"/>
      <c r="AM21" s="1"/>
    </row>
    <row r="22" spans="2:39" ht="18.649999999999999" customHeight="1" thickBot="1" x14ac:dyDescent="0.4">
      <c r="B22" s="10" t="s">
        <v>331</v>
      </c>
      <c r="C22" s="184"/>
      <c r="D22" s="184"/>
      <c r="E22" s="181">
        <v>400</v>
      </c>
      <c r="F22" s="177" t="s">
        <v>194</v>
      </c>
      <c r="G22" s="173">
        <v>0.3</v>
      </c>
      <c r="H22" s="173">
        <v>0.3</v>
      </c>
      <c r="I22" s="174">
        <v>900000</v>
      </c>
      <c r="J22" s="178"/>
      <c r="K22" s="178"/>
      <c r="L22" s="173"/>
      <c r="M22" s="175"/>
      <c r="N22" s="173"/>
      <c r="O22" s="173"/>
      <c r="P22" s="176"/>
      <c r="Q22" s="173"/>
      <c r="R22" s="1"/>
      <c r="S22" s="1"/>
      <c r="T22" s="1"/>
      <c r="U22" s="1"/>
      <c r="V22" s="1"/>
      <c r="W22" s="1"/>
      <c r="AJ22" s="1"/>
      <c r="AK22" s="1"/>
      <c r="AL22" s="1"/>
      <c r="AM22" s="1"/>
    </row>
    <row r="23" spans="2:39" ht="15.65" customHeight="1" thickBot="1" x14ac:dyDescent="0.4">
      <c r="B23" s="179" t="s">
        <v>190</v>
      </c>
      <c r="C23" s="184" t="s">
        <v>218</v>
      </c>
      <c r="D23" s="184">
        <v>1</v>
      </c>
      <c r="E23" s="177">
        <v>200</v>
      </c>
      <c r="F23" s="177" t="s">
        <v>203</v>
      </c>
      <c r="G23" s="173">
        <v>0.15</v>
      </c>
      <c r="H23" s="173">
        <v>0.15</v>
      </c>
      <c r="I23" s="174">
        <v>400000</v>
      </c>
      <c r="J23" s="178" t="s">
        <v>153</v>
      </c>
      <c r="K23" s="178" t="s">
        <v>153</v>
      </c>
      <c r="L23" s="173">
        <f t="shared" ref="L23:L26" si="2">H23*N23*D23</f>
        <v>3.5999999999999996</v>
      </c>
      <c r="M23" s="175">
        <f t="shared" si="0"/>
        <v>6</v>
      </c>
      <c r="N23" s="173">
        <v>24</v>
      </c>
      <c r="O23" s="178" t="s">
        <v>153</v>
      </c>
      <c r="P23" s="176">
        <v>300</v>
      </c>
      <c r="Q23" s="173">
        <v>0.6</v>
      </c>
      <c r="R23" s="1"/>
      <c r="S23" s="1"/>
      <c r="T23" s="1"/>
      <c r="U23" s="1"/>
      <c r="V23" s="1"/>
      <c r="W23" s="1"/>
      <c r="AJ23" s="1"/>
      <c r="AK23" s="1"/>
      <c r="AL23" s="1"/>
      <c r="AM23" s="1"/>
    </row>
    <row r="24" spans="2:39" ht="13.5" customHeight="1" thickBot="1" x14ac:dyDescent="0.4">
      <c r="B24" s="179" t="s">
        <v>191</v>
      </c>
      <c r="C24" s="184" t="s">
        <v>218</v>
      </c>
      <c r="D24" s="184">
        <v>1</v>
      </c>
      <c r="E24" s="181" t="s">
        <v>153</v>
      </c>
      <c r="F24" s="181" t="s">
        <v>153</v>
      </c>
      <c r="G24" s="173">
        <v>0.15</v>
      </c>
      <c r="H24" s="173">
        <v>0.15</v>
      </c>
      <c r="I24" s="174">
        <v>300000</v>
      </c>
      <c r="J24" s="178" t="s">
        <v>153</v>
      </c>
      <c r="K24" s="178" t="s">
        <v>153</v>
      </c>
      <c r="L24" s="173">
        <f t="shared" si="2"/>
        <v>1.7999999999999998</v>
      </c>
      <c r="M24" s="175">
        <f t="shared" si="0"/>
        <v>3</v>
      </c>
      <c r="N24" s="173">
        <v>12</v>
      </c>
      <c r="O24" s="173">
        <v>8</v>
      </c>
      <c r="P24" s="176">
        <v>300</v>
      </c>
      <c r="Q24" s="173">
        <v>0.6</v>
      </c>
      <c r="R24" s="1"/>
      <c r="S24" s="1"/>
      <c r="T24" s="1"/>
      <c r="U24" s="1"/>
      <c r="V24" s="1"/>
      <c r="W24" s="1"/>
      <c r="AJ24" s="1"/>
      <c r="AK24" s="1"/>
      <c r="AL24" s="1"/>
      <c r="AM24" s="1"/>
    </row>
    <row r="25" spans="2:39" ht="17" thickBot="1" x14ac:dyDescent="0.4">
      <c r="B25" s="179" t="s">
        <v>192</v>
      </c>
      <c r="C25" s="184" t="s">
        <v>198</v>
      </c>
      <c r="D25" s="184">
        <v>1</v>
      </c>
      <c r="E25" s="177">
        <v>25</v>
      </c>
      <c r="F25" s="177" t="s">
        <v>196</v>
      </c>
      <c r="G25" s="177">
        <f>0.01*E25</f>
        <v>0.25</v>
      </c>
      <c r="H25" s="177">
        <f>G25</f>
        <v>0.25</v>
      </c>
      <c r="I25" s="201">
        <v>20000</v>
      </c>
      <c r="J25" s="181" t="s">
        <v>153</v>
      </c>
      <c r="K25" s="181" t="s">
        <v>153</v>
      </c>
      <c r="L25" s="177">
        <f t="shared" si="2"/>
        <v>1</v>
      </c>
      <c r="M25" s="202">
        <f t="shared" si="0"/>
        <v>1.4285714285714286</v>
      </c>
      <c r="N25" s="177">
        <v>4</v>
      </c>
      <c r="O25" s="177">
        <v>5</v>
      </c>
      <c r="P25" s="203">
        <v>300</v>
      </c>
      <c r="Q25" s="177">
        <v>0.7</v>
      </c>
      <c r="R25" s="1"/>
      <c r="S25" s="1"/>
      <c r="T25" s="1"/>
      <c r="U25" s="1"/>
      <c r="V25" s="1"/>
      <c r="W25" s="1"/>
      <c r="AJ25" s="1"/>
      <c r="AK25" s="1"/>
      <c r="AL25" s="1"/>
      <c r="AM25" s="1"/>
    </row>
    <row r="26" spans="2:39" ht="14.5" customHeight="1" thickBot="1" x14ac:dyDescent="0.4">
      <c r="B26" s="179" t="s">
        <v>201</v>
      </c>
      <c r="C26" s="184" t="s">
        <v>218</v>
      </c>
      <c r="D26" s="184">
        <v>2</v>
      </c>
      <c r="E26" s="177">
        <v>1.3</v>
      </c>
      <c r="F26" s="177" t="s">
        <v>199</v>
      </c>
      <c r="G26" s="173">
        <v>0.3</v>
      </c>
      <c r="H26" s="173">
        <v>0.3</v>
      </c>
      <c r="I26" s="174">
        <v>1000000</v>
      </c>
      <c r="J26" s="178" t="s">
        <v>153</v>
      </c>
      <c r="K26" s="178" t="s">
        <v>153</v>
      </c>
      <c r="L26" s="173">
        <f t="shared" si="2"/>
        <v>3</v>
      </c>
      <c r="M26" s="175">
        <f t="shared" si="0"/>
        <v>5</v>
      </c>
      <c r="N26" s="173">
        <v>5</v>
      </c>
      <c r="O26" s="173">
        <v>1</v>
      </c>
      <c r="P26" s="176">
        <v>300</v>
      </c>
      <c r="Q26" s="173">
        <v>0.6</v>
      </c>
      <c r="R26" s="1"/>
      <c r="S26" s="1"/>
      <c r="T26" s="1"/>
      <c r="U26" s="1"/>
      <c r="V26" s="1"/>
      <c r="W26" s="1"/>
      <c r="AJ26" s="1"/>
      <c r="AK26" s="1"/>
      <c r="AL26" s="1"/>
      <c r="AM26" s="1"/>
    </row>
    <row r="27" spans="2:39" ht="17.149999999999999" customHeight="1" thickBot="1" x14ac:dyDescent="0.4">
      <c r="B27" s="10" t="s">
        <v>213</v>
      </c>
      <c r="C27" s="227" t="s">
        <v>218</v>
      </c>
      <c r="D27" s="184">
        <v>1</v>
      </c>
      <c r="E27" s="181" t="s">
        <v>153</v>
      </c>
      <c r="F27" s="181" t="s">
        <v>153</v>
      </c>
      <c r="G27" s="177">
        <v>0.1</v>
      </c>
      <c r="H27" s="177">
        <v>0.1</v>
      </c>
      <c r="I27" s="201">
        <v>500000</v>
      </c>
      <c r="J27" s="181" t="s">
        <v>153</v>
      </c>
      <c r="K27" s="181" t="s">
        <v>153</v>
      </c>
      <c r="L27" s="177">
        <f t="shared" ref="L27:L33" si="3">H27*N27*D27</f>
        <v>0</v>
      </c>
      <c r="M27" s="202">
        <f t="shared" si="0"/>
        <v>0</v>
      </c>
      <c r="N27" s="177">
        <v>0</v>
      </c>
      <c r="O27" s="177">
        <v>6</v>
      </c>
      <c r="P27" s="203">
        <v>300</v>
      </c>
      <c r="Q27" s="177">
        <v>0.7</v>
      </c>
      <c r="R27" s="1"/>
      <c r="S27" s="1"/>
      <c r="T27" s="1"/>
      <c r="U27" s="1"/>
      <c r="V27" s="1"/>
      <c r="W27" s="1"/>
      <c r="AJ27" s="1"/>
      <c r="AK27" s="1"/>
      <c r="AL27" s="1"/>
      <c r="AM27" s="1"/>
    </row>
    <row r="28" spans="2:39" ht="13" customHeight="1" thickBot="1" x14ac:dyDescent="0.4">
      <c r="B28" s="10" t="s">
        <v>214</v>
      </c>
      <c r="C28" s="183" t="s">
        <v>218</v>
      </c>
      <c r="D28" s="183">
        <v>1</v>
      </c>
      <c r="E28" s="181" t="s">
        <v>153</v>
      </c>
      <c r="F28" s="181" t="s">
        <v>153</v>
      </c>
      <c r="G28" s="173">
        <v>0.15</v>
      </c>
      <c r="H28" s="173">
        <v>0.15</v>
      </c>
      <c r="I28" s="174">
        <v>500000</v>
      </c>
      <c r="J28" s="178" t="s">
        <v>153</v>
      </c>
      <c r="K28" s="178" t="s">
        <v>153</v>
      </c>
      <c r="L28" s="173">
        <f t="shared" si="3"/>
        <v>0.15</v>
      </c>
      <c r="M28" s="175">
        <f t="shared" si="0"/>
        <v>0.25</v>
      </c>
      <c r="N28" s="173">
        <v>1</v>
      </c>
      <c r="O28" s="173">
        <v>1</v>
      </c>
      <c r="P28" s="176">
        <v>300</v>
      </c>
      <c r="Q28" s="173">
        <v>0.6</v>
      </c>
      <c r="R28" s="1"/>
      <c r="S28" s="1"/>
      <c r="T28" s="1"/>
      <c r="U28" s="1"/>
      <c r="V28" s="1"/>
      <c r="W28" s="1"/>
      <c r="AJ28" s="1"/>
      <c r="AK28" s="1"/>
      <c r="AL28" s="1"/>
      <c r="AM28" s="1"/>
    </row>
    <row r="29" spans="2:39" ht="17.149999999999999" customHeight="1" thickBot="1" x14ac:dyDescent="0.4">
      <c r="B29" s="179" t="s">
        <v>219</v>
      </c>
      <c r="C29" s="183" t="s">
        <v>218</v>
      </c>
      <c r="D29" s="183">
        <v>1</v>
      </c>
      <c r="E29" s="181" t="s">
        <v>153</v>
      </c>
      <c r="F29" s="181" t="s">
        <v>153</v>
      </c>
      <c r="G29" s="173">
        <v>1.5</v>
      </c>
      <c r="H29" s="173">
        <v>1.5</v>
      </c>
      <c r="I29" s="174">
        <v>2400000</v>
      </c>
      <c r="J29" s="178" t="s">
        <v>153</v>
      </c>
      <c r="K29" s="178" t="s">
        <v>153</v>
      </c>
      <c r="L29" s="173">
        <f t="shared" si="3"/>
        <v>12</v>
      </c>
      <c r="M29" s="175">
        <f t="shared" si="0"/>
        <v>20</v>
      </c>
      <c r="N29" s="173">
        <v>8</v>
      </c>
      <c r="O29" s="173">
        <v>3</v>
      </c>
      <c r="P29" s="176">
        <v>140</v>
      </c>
      <c r="Q29" s="173">
        <v>0.6</v>
      </c>
      <c r="R29" s="1"/>
      <c r="S29" s="1"/>
      <c r="T29" s="1"/>
      <c r="U29" s="1"/>
      <c r="V29" s="1"/>
      <c r="W29" s="1"/>
      <c r="AJ29" s="1"/>
      <c r="AK29" s="1"/>
      <c r="AL29" s="1"/>
      <c r="AM29" s="1"/>
    </row>
    <row r="30" spans="2:39" ht="18" customHeight="1" thickBot="1" x14ac:dyDescent="0.4">
      <c r="B30" s="10" t="s">
        <v>222</v>
      </c>
      <c r="C30" s="184" t="s">
        <v>218</v>
      </c>
      <c r="D30" s="184">
        <v>1</v>
      </c>
      <c r="E30" s="181" t="s">
        <v>153</v>
      </c>
      <c r="F30" s="181" t="s">
        <v>153</v>
      </c>
      <c r="G30" s="199"/>
      <c r="H30" s="199"/>
      <c r="I30" s="200">
        <v>0</v>
      </c>
      <c r="J30" s="178" t="s">
        <v>153</v>
      </c>
      <c r="K30" s="178" t="s">
        <v>153</v>
      </c>
      <c r="L30" s="173">
        <f t="shared" si="3"/>
        <v>0</v>
      </c>
      <c r="M30" s="175">
        <f t="shared" ref="M30" si="4">(H30*N30*D30)/Q30</f>
        <v>0</v>
      </c>
      <c r="N30" s="173">
        <v>8</v>
      </c>
      <c r="O30" s="173">
        <v>8</v>
      </c>
      <c r="P30" s="176">
        <v>140</v>
      </c>
      <c r="Q30" s="173">
        <v>0.6</v>
      </c>
      <c r="R30" s="1"/>
      <c r="S30" s="1"/>
      <c r="T30" s="1"/>
      <c r="U30" s="1"/>
      <c r="V30" s="1"/>
      <c r="W30" s="1"/>
      <c r="AJ30" s="1"/>
      <c r="AK30" s="1"/>
      <c r="AL30" s="1"/>
      <c r="AM30" s="1"/>
    </row>
    <row r="31" spans="2:39" ht="17" thickBot="1" x14ac:dyDescent="0.4">
      <c r="B31" s="10" t="s">
        <v>223</v>
      </c>
      <c r="C31" s="184" t="s">
        <v>198</v>
      </c>
      <c r="D31" s="184">
        <v>1</v>
      </c>
      <c r="E31" s="181" t="s">
        <v>153</v>
      </c>
      <c r="F31" s="181" t="s">
        <v>153</v>
      </c>
      <c r="G31" s="177">
        <v>0.25</v>
      </c>
      <c r="H31" s="177">
        <v>0.25</v>
      </c>
      <c r="I31" s="201">
        <v>150000</v>
      </c>
      <c r="J31" s="181"/>
      <c r="K31" s="181"/>
      <c r="L31" s="177"/>
      <c r="M31" s="202"/>
      <c r="N31" s="226">
        <v>1</v>
      </c>
      <c r="O31" s="177">
        <v>1</v>
      </c>
      <c r="P31" s="203">
        <v>300</v>
      </c>
      <c r="Q31" s="177">
        <v>0.7</v>
      </c>
      <c r="R31" s="1"/>
      <c r="S31" s="1"/>
      <c r="T31" s="1"/>
      <c r="U31" s="1"/>
      <c r="V31" s="1"/>
      <c r="W31" s="1"/>
      <c r="AJ31" s="1"/>
      <c r="AK31" s="1"/>
      <c r="AL31" s="1"/>
      <c r="AM31" s="1"/>
    </row>
    <row r="32" spans="2:39" s="308" customFormat="1" ht="16" thickBot="1" x14ac:dyDescent="0.4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2:39" ht="17.149999999999999" customHeight="1" thickBot="1" x14ac:dyDescent="0.4">
      <c r="B33" s="10" t="s">
        <v>215</v>
      </c>
      <c r="C33" s="298" t="s">
        <v>198</v>
      </c>
      <c r="D33" s="298">
        <v>3</v>
      </c>
      <c r="E33" s="299" t="s">
        <v>153</v>
      </c>
      <c r="F33" s="299" t="s">
        <v>153</v>
      </c>
      <c r="G33" s="300">
        <v>1.0999999999999999E-2</v>
      </c>
      <c r="H33" s="300">
        <v>1.0999999999999999E-2</v>
      </c>
      <c r="I33" s="301">
        <v>1500</v>
      </c>
      <c r="J33" s="299" t="s">
        <v>153</v>
      </c>
      <c r="K33" s="299" t="s">
        <v>153</v>
      </c>
      <c r="L33" s="300">
        <f t="shared" si="3"/>
        <v>0.32999999999999996</v>
      </c>
      <c r="M33" s="302">
        <f t="shared" si="0"/>
        <v>0.47142857142857142</v>
      </c>
      <c r="N33" s="300">
        <v>10</v>
      </c>
      <c r="O33" s="300">
        <v>6</v>
      </c>
      <c r="P33" s="303">
        <v>300</v>
      </c>
      <c r="Q33" s="300">
        <v>0.7</v>
      </c>
      <c r="R33" s="1"/>
      <c r="S33" s="1"/>
      <c r="T33" s="1"/>
      <c r="U33" s="1"/>
      <c r="V33" s="1"/>
      <c r="W33" s="1"/>
      <c r="AJ33" s="1"/>
      <c r="AK33" s="1"/>
      <c r="AL33" s="1"/>
      <c r="AM33" s="1"/>
    </row>
    <row r="34" spans="2:39" ht="17.149999999999999" customHeight="1" thickBot="1" x14ac:dyDescent="0.4">
      <c r="B34" s="305" t="s">
        <v>22</v>
      </c>
      <c r="C34" s="184" t="s">
        <v>198</v>
      </c>
      <c r="D34" s="309">
        <f>C135</f>
        <v>27</v>
      </c>
      <c r="E34" s="181" t="s">
        <v>153</v>
      </c>
      <c r="F34" s="181" t="s">
        <v>153</v>
      </c>
      <c r="G34" s="310"/>
      <c r="H34" s="310"/>
      <c r="I34" s="109">
        <v>35000</v>
      </c>
      <c r="J34" s="311"/>
      <c r="K34" s="311"/>
      <c r="L34" s="310"/>
      <c r="M34" s="312"/>
      <c r="N34" s="310"/>
      <c r="O34" s="310"/>
      <c r="P34" s="313"/>
      <c r="Q34" s="310"/>
      <c r="R34" s="1"/>
      <c r="S34" s="1"/>
      <c r="T34" s="1"/>
      <c r="U34" s="1"/>
      <c r="V34" s="1"/>
      <c r="W34" s="1"/>
      <c r="AJ34" s="1"/>
      <c r="AK34" s="1"/>
      <c r="AL34" s="1"/>
      <c r="AM34" s="1"/>
    </row>
    <row r="35" spans="2:39" ht="17.149999999999999" customHeight="1" thickBot="1" x14ac:dyDescent="0.4">
      <c r="B35" s="305" t="s">
        <v>255</v>
      </c>
      <c r="C35" s="184" t="s">
        <v>198</v>
      </c>
      <c r="D35" s="298">
        <v>1</v>
      </c>
      <c r="E35" s="181" t="s">
        <v>153</v>
      </c>
      <c r="F35" s="181" t="s">
        <v>153</v>
      </c>
      <c r="G35" s="300"/>
      <c r="H35" s="300"/>
      <c r="I35" s="109"/>
      <c r="J35" s="299"/>
      <c r="K35" s="299"/>
      <c r="L35" s="300"/>
      <c r="M35" s="302"/>
      <c r="N35" s="300"/>
      <c r="O35" s="300"/>
      <c r="P35" s="303"/>
      <c r="Q35" s="300"/>
      <c r="R35" s="1"/>
      <c r="S35" s="1"/>
      <c r="T35" s="1"/>
      <c r="U35" s="1"/>
      <c r="V35" s="1"/>
      <c r="W35" s="1"/>
      <c r="AJ35" s="1"/>
      <c r="AK35" s="1"/>
      <c r="AL35" s="1"/>
      <c r="AM35" s="1"/>
    </row>
    <row r="36" spans="2:39" ht="17.149999999999999" customHeight="1" thickBot="1" x14ac:dyDescent="0.4">
      <c r="B36" s="305" t="s">
        <v>23</v>
      </c>
      <c r="C36" s="184" t="s">
        <v>198</v>
      </c>
      <c r="D36" s="298">
        <v>1</v>
      </c>
      <c r="E36" s="181" t="s">
        <v>153</v>
      </c>
      <c r="F36" s="181" t="s">
        <v>153</v>
      </c>
      <c r="G36" s="300"/>
      <c r="H36" s="300"/>
      <c r="I36" s="109">
        <v>140000</v>
      </c>
      <c r="J36" s="299"/>
      <c r="K36" s="299"/>
      <c r="L36" s="300"/>
      <c r="M36" s="302"/>
      <c r="N36" s="300"/>
      <c r="O36" s="300"/>
      <c r="P36" s="303"/>
      <c r="Q36" s="300"/>
      <c r="R36" s="1"/>
      <c r="S36" s="1"/>
      <c r="T36" s="1"/>
      <c r="U36" s="1"/>
      <c r="V36" s="1"/>
      <c r="W36" s="1"/>
      <c r="AJ36" s="1"/>
      <c r="AK36" s="1"/>
      <c r="AL36" s="1"/>
      <c r="AM36" s="1"/>
    </row>
    <row r="37" spans="2:39" ht="17.149999999999999" customHeight="1" thickBot="1" x14ac:dyDescent="0.4">
      <c r="B37" s="305" t="s">
        <v>254</v>
      </c>
      <c r="C37" s="184" t="s">
        <v>198</v>
      </c>
      <c r="D37" s="298">
        <v>1</v>
      </c>
      <c r="E37" s="181" t="s">
        <v>153</v>
      </c>
      <c r="F37" s="181" t="s">
        <v>153</v>
      </c>
      <c r="G37" s="298"/>
      <c r="H37" s="298"/>
      <c r="I37" s="109">
        <v>1000000</v>
      </c>
      <c r="J37" s="298"/>
      <c r="K37" s="298"/>
      <c r="L37" s="298"/>
      <c r="M37" s="298"/>
      <c r="N37" s="298"/>
      <c r="O37" s="298"/>
      <c r="P37" s="298"/>
      <c r="Q37" s="298"/>
      <c r="R37" s="1"/>
      <c r="S37" s="1"/>
      <c r="T37" s="1"/>
      <c r="U37" s="1"/>
      <c r="V37" s="1"/>
      <c r="W37" s="1"/>
      <c r="AJ37" s="1"/>
      <c r="AK37" s="1"/>
      <c r="AL37" s="1"/>
      <c r="AM37" s="1"/>
    </row>
    <row r="38" spans="2:39" ht="17.149999999999999" customHeight="1" thickBot="1" x14ac:dyDescent="0.4">
      <c r="B38" s="305" t="s">
        <v>202</v>
      </c>
      <c r="C38" s="184" t="s">
        <v>198</v>
      </c>
      <c r="D38" s="298">
        <v>1</v>
      </c>
      <c r="E38" s="181" t="s">
        <v>153</v>
      </c>
      <c r="F38" s="181" t="s">
        <v>153</v>
      </c>
      <c r="G38" s="298"/>
      <c r="H38" s="298"/>
      <c r="I38" s="55">
        <v>10000000</v>
      </c>
      <c r="J38" s="298"/>
      <c r="K38" s="298"/>
      <c r="L38" s="298"/>
      <c r="M38" s="298"/>
      <c r="N38" s="298"/>
      <c r="O38" s="298"/>
      <c r="P38" s="298"/>
      <c r="Q38" s="298"/>
      <c r="R38" s="1"/>
      <c r="S38" s="1"/>
      <c r="T38" s="1"/>
      <c r="U38" s="1"/>
      <c r="V38" s="1"/>
      <c r="W38" s="1"/>
      <c r="AJ38" s="1"/>
      <c r="AK38" s="1"/>
      <c r="AL38" s="1"/>
      <c r="AM38" s="1"/>
    </row>
    <row r="39" spans="2:39" ht="17.149999999999999" customHeight="1" thickBot="1" x14ac:dyDescent="0.4">
      <c r="B39" s="305" t="s">
        <v>230</v>
      </c>
      <c r="C39" s="184" t="s">
        <v>198</v>
      </c>
      <c r="D39" s="298">
        <v>1</v>
      </c>
      <c r="E39" s="181" t="s">
        <v>153</v>
      </c>
      <c r="F39" s="181" t="s">
        <v>153</v>
      </c>
      <c r="G39" s="298"/>
      <c r="H39" s="298"/>
      <c r="I39" s="55">
        <v>1000000</v>
      </c>
      <c r="J39" s="298"/>
      <c r="K39" s="298"/>
      <c r="L39" s="298"/>
      <c r="M39" s="298"/>
      <c r="N39" s="298"/>
      <c r="O39" s="298"/>
      <c r="P39" s="298"/>
      <c r="Q39" s="298"/>
      <c r="R39" s="1"/>
      <c r="S39" s="1"/>
      <c r="T39" s="1"/>
      <c r="U39" s="1"/>
      <c r="V39" s="1"/>
      <c r="W39" s="1"/>
      <c r="AJ39" s="1"/>
      <c r="AK39" s="1"/>
      <c r="AL39" s="1"/>
      <c r="AM39" s="1"/>
    </row>
    <row r="40" spans="2:39" ht="17.149999999999999" customHeight="1" thickBot="1" x14ac:dyDescent="0.4">
      <c r="B40" s="305" t="s">
        <v>97</v>
      </c>
      <c r="C40" s="184" t="s">
        <v>198</v>
      </c>
      <c r="D40" s="298">
        <v>1</v>
      </c>
      <c r="E40" s="181" t="s">
        <v>153</v>
      </c>
      <c r="F40" s="181" t="s">
        <v>153</v>
      </c>
      <c r="G40" s="298"/>
      <c r="H40" s="298"/>
      <c r="I40" s="109">
        <v>1000000</v>
      </c>
      <c r="J40" s="298"/>
      <c r="K40" s="298"/>
      <c r="L40" s="298"/>
      <c r="M40" s="298"/>
      <c r="N40" s="298"/>
      <c r="O40" s="298"/>
      <c r="P40" s="298"/>
      <c r="Q40" s="298"/>
      <c r="R40" s="1"/>
      <c r="S40" s="1"/>
      <c r="T40" s="1"/>
      <c r="U40" s="1"/>
      <c r="V40" s="1"/>
      <c r="W40" s="1"/>
      <c r="AJ40" s="1"/>
      <c r="AK40" s="1"/>
      <c r="AL40" s="1"/>
      <c r="AM40" s="1"/>
    </row>
    <row r="41" spans="2:39" ht="17.149999999999999" customHeight="1" thickBot="1" x14ac:dyDescent="0.4">
      <c r="B41" s="305" t="s">
        <v>316</v>
      </c>
      <c r="C41" s="184"/>
      <c r="D41" s="298"/>
      <c r="E41" s="181"/>
      <c r="F41" s="181"/>
      <c r="G41" s="298"/>
      <c r="H41" s="298"/>
      <c r="I41" s="332"/>
      <c r="J41" s="298"/>
      <c r="K41" s="298"/>
      <c r="L41" s="298"/>
      <c r="M41" s="298"/>
      <c r="N41" s="298"/>
      <c r="O41" s="298"/>
      <c r="P41" s="298"/>
      <c r="Q41" s="298"/>
      <c r="R41" s="1"/>
      <c r="S41" s="1"/>
      <c r="T41" s="1"/>
      <c r="U41" s="1"/>
      <c r="V41" s="1"/>
      <c r="W41" s="1"/>
      <c r="AJ41" s="1"/>
      <c r="AK41" s="1"/>
      <c r="AL41" s="1"/>
      <c r="AM41" s="1"/>
    </row>
    <row r="42" spans="2:39" ht="17.149999999999999" customHeight="1" thickBot="1" x14ac:dyDescent="0.4">
      <c r="B42" s="305" t="s">
        <v>317</v>
      </c>
      <c r="C42" s="184"/>
      <c r="D42" s="298"/>
      <c r="E42" s="181"/>
      <c r="F42" s="181"/>
      <c r="G42" s="298"/>
      <c r="H42" s="298"/>
      <c r="I42" s="332"/>
      <c r="J42" s="298"/>
      <c r="K42" s="298"/>
      <c r="L42" s="298"/>
      <c r="M42" s="298"/>
      <c r="N42" s="298"/>
      <c r="O42" s="298"/>
      <c r="P42" s="298"/>
      <c r="Q42" s="298"/>
      <c r="R42" s="1"/>
      <c r="S42" s="1"/>
      <c r="T42" s="1"/>
      <c r="U42" s="1"/>
      <c r="V42" s="1"/>
      <c r="W42" s="1"/>
      <c r="AJ42" s="1"/>
      <c r="AK42" s="1"/>
      <c r="AL42" s="1"/>
      <c r="AM42" s="1"/>
    </row>
    <row r="43" spans="2:39" ht="17.149999999999999" customHeight="1" thickBot="1" x14ac:dyDescent="0.4">
      <c r="B43" s="305" t="s">
        <v>332</v>
      </c>
      <c r="C43" s="184"/>
      <c r="D43" s="298">
        <v>1</v>
      </c>
      <c r="E43" s="181"/>
      <c r="F43" s="181"/>
      <c r="G43" s="298"/>
      <c r="H43" s="298"/>
      <c r="I43" s="333">
        <v>161755</v>
      </c>
      <c r="J43" s="298"/>
      <c r="K43" s="298"/>
      <c r="L43" s="298"/>
      <c r="M43" s="298"/>
      <c r="N43" s="298"/>
      <c r="O43" s="298"/>
      <c r="P43" s="298"/>
      <c r="Q43" s="298"/>
      <c r="R43" s="1"/>
      <c r="S43" s="1"/>
      <c r="T43" s="1"/>
      <c r="U43" s="1"/>
      <c r="V43" s="1"/>
      <c r="W43" s="1"/>
      <c r="AJ43" s="1"/>
      <c r="AK43" s="1"/>
      <c r="AL43" s="1"/>
      <c r="AM43" s="1"/>
    </row>
    <row r="44" spans="2:39" ht="17.149999999999999" customHeight="1" thickBot="1" x14ac:dyDescent="0.4">
      <c r="B44" s="305" t="s">
        <v>320</v>
      </c>
      <c r="C44" s="184"/>
      <c r="D44" s="298">
        <v>1</v>
      </c>
      <c r="E44" s="181"/>
      <c r="F44" s="181"/>
      <c r="G44" s="298"/>
      <c r="H44" s="298"/>
      <c r="I44" s="109">
        <f>9112*F107</f>
        <v>218688</v>
      </c>
      <c r="J44" s="298"/>
      <c r="K44" s="298"/>
      <c r="L44" s="298"/>
      <c r="M44" s="298"/>
      <c r="N44" s="298"/>
      <c r="O44" s="298"/>
      <c r="P44" s="298"/>
      <c r="Q44" s="298"/>
      <c r="R44" s="1"/>
      <c r="S44" s="1"/>
      <c r="T44" s="1"/>
      <c r="U44" s="1"/>
      <c r="V44" s="1"/>
      <c r="W44" s="1"/>
      <c r="AJ44" s="1"/>
      <c r="AK44" s="1"/>
      <c r="AL44" s="1"/>
      <c r="AM44" s="1"/>
    </row>
    <row r="45" spans="2:39" s="308" customFormat="1" ht="17.149999999999999" customHeight="1" x14ac:dyDescent="0.3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2:39" s="1" customFormat="1" ht="16" thickBot="1" x14ac:dyDescent="0.4"/>
    <row r="47" spans="2:39" s="1" customFormat="1" ht="30.5" thickBot="1" x14ac:dyDescent="0.5">
      <c r="B47" s="137" t="s">
        <v>112</v>
      </c>
      <c r="C47" s="138" t="s">
        <v>4</v>
      </c>
      <c r="D47" s="138" t="s">
        <v>5</v>
      </c>
      <c r="E47" s="138" t="s">
        <v>113</v>
      </c>
      <c r="F47" s="138" t="s">
        <v>114</v>
      </c>
      <c r="H47" s="137" t="s">
        <v>115</v>
      </c>
      <c r="I47" s="138" t="s">
        <v>116</v>
      </c>
      <c r="J47" s="138" t="s">
        <v>5</v>
      </c>
      <c r="K47" s="138" t="s">
        <v>114</v>
      </c>
      <c r="L47" s="138" t="s">
        <v>161</v>
      </c>
      <c r="M47" s="164" t="s">
        <v>162</v>
      </c>
    </row>
    <row r="48" spans="2:39" s="1" customFormat="1" ht="17" thickBot="1" x14ac:dyDescent="0.4">
      <c r="B48" s="10" t="s">
        <v>334</v>
      </c>
      <c r="C48" s="139">
        <v>0.375</v>
      </c>
      <c r="D48" s="112">
        <v>78148</v>
      </c>
      <c r="E48" s="140">
        <v>0.6</v>
      </c>
      <c r="F48" s="140" t="s">
        <v>150</v>
      </c>
      <c r="H48" s="10" t="s">
        <v>151</v>
      </c>
      <c r="I48" s="141">
        <v>220</v>
      </c>
      <c r="J48" s="112">
        <v>400000</v>
      </c>
      <c r="K48" s="112">
        <v>12</v>
      </c>
      <c r="L48" s="112">
        <v>7</v>
      </c>
    </row>
    <row r="49" spans="2:15" s="1" customFormat="1" ht="36" customHeight="1" thickBot="1" x14ac:dyDescent="0.4">
      <c r="B49" s="334" t="s">
        <v>146</v>
      </c>
      <c r="C49" s="342">
        <v>0.3</v>
      </c>
      <c r="D49" s="336">
        <v>300000</v>
      </c>
      <c r="E49" s="343">
        <v>0.6</v>
      </c>
      <c r="F49" s="343" t="s">
        <v>150</v>
      </c>
      <c r="H49" s="196" t="s">
        <v>220</v>
      </c>
      <c r="I49" s="141">
        <v>400</v>
      </c>
      <c r="J49" s="112">
        <f>660*655</f>
        <v>432300</v>
      </c>
      <c r="K49" s="112">
        <v>6</v>
      </c>
      <c r="L49" s="112">
        <v>10</v>
      </c>
    </row>
    <row r="50" spans="2:15" s="1" customFormat="1" ht="17" thickBot="1" x14ac:dyDescent="0.4">
      <c r="B50" s="339" t="s">
        <v>339</v>
      </c>
      <c r="C50" s="341" t="str">
        <f>IF(J52&lt;0.5,"12V",IF(AND(J52&gt;=0.5,J52&lt;2),"24V",IF(J52&gt;=2,"48V")))</f>
        <v>48V</v>
      </c>
      <c r="D50" s="197"/>
      <c r="E50" s="198"/>
      <c r="F50" s="198"/>
      <c r="G50" s="135"/>
      <c r="H50" s="196" t="s">
        <v>314</v>
      </c>
      <c r="I50" s="141">
        <v>1220</v>
      </c>
      <c r="J50" s="112">
        <v>194400.625</v>
      </c>
      <c r="K50" s="112">
        <v>2</v>
      </c>
      <c r="L50" s="112">
        <v>12</v>
      </c>
    </row>
    <row r="51" spans="2:15" s="1" customFormat="1" ht="17" thickBot="1" x14ac:dyDescent="0.4">
      <c r="H51" s="334" t="s">
        <v>152</v>
      </c>
      <c r="I51" s="147">
        <v>265</v>
      </c>
      <c r="J51" s="111">
        <v>580000</v>
      </c>
      <c r="K51" s="111">
        <v>12</v>
      </c>
      <c r="L51" s="112">
        <v>7</v>
      </c>
    </row>
    <row r="52" spans="2:15" s="1" customFormat="1" x14ac:dyDescent="0.35">
      <c r="B52" s="162"/>
      <c r="C52" s="163"/>
      <c r="H52" s="153" t="s">
        <v>117</v>
      </c>
      <c r="I52" s="152">
        <f>IF(J52&lt;0.5,12,IF(AND(J52&gt;=0.5,J52&lt;2),24,IF(J52&gt;=2,48)))</f>
        <v>48</v>
      </c>
      <c r="J52" s="340">
        <f>F104*INDEX(C:C,MATCH(F81,B:B,0))</f>
        <v>10.125</v>
      </c>
    </row>
    <row r="53" spans="2:15" s="1" customFormat="1" ht="16" thickBot="1" x14ac:dyDescent="0.4"/>
    <row r="54" spans="2:15" s="1" customFormat="1" ht="19" thickBot="1" x14ac:dyDescent="0.5">
      <c r="B54" s="137" t="s">
        <v>337</v>
      </c>
      <c r="C54" s="131" t="s">
        <v>148</v>
      </c>
      <c r="D54" s="138" t="s">
        <v>5</v>
      </c>
      <c r="H54" s="137" t="s">
        <v>341</v>
      </c>
      <c r="I54" s="131"/>
      <c r="J54" s="138" t="s">
        <v>5</v>
      </c>
      <c r="K54" s="138" t="s">
        <v>114</v>
      </c>
    </row>
    <row r="55" spans="2:15" s="1" customFormat="1" ht="17" thickBot="1" x14ac:dyDescent="0.4">
      <c r="B55" s="10" t="s">
        <v>147</v>
      </c>
      <c r="C55" s="337">
        <v>2</v>
      </c>
      <c r="D55" s="338">
        <v>450000</v>
      </c>
      <c r="H55" s="10" t="s">
        <v>313</v>
      </c>
      <c r="I55" s="141"/>
      <c r="J55" s="112">
        <v>1870329</v>
      </c>
      <c r="K55" s="112" t="s">
        <v>155</v>
      </c>
    </row>
    <row r="56" spans="2:15" s="1" customFormat="1" ht="29.15" customHeight="1" thickBot="1" x14ac:dyDescent="0.4">
      <c r="B56" s="334" t="s">
        <v>315</v>
      </c>
      <c r="C56" s="335">
        <v>8</v>
      </c>
      <c r="D56" s="336">
        <v>1660376</v>
      </c>
      <c r="H56" s="334" t="s">
        <v>338</v>
      </c>
      <c r="I56" s="11"/>
      <c r="J56" s="336">
        <v>316410</v>
      </c>
      <c r="K56" s="336" t="s">
        <v>155</v>
      </c>
    </row>
    <row r="57" spans="2:15" s="1" customFormat="1" x14ac:dyDescent="0.35"/>
    <row r="58" spans="2:15" s="1" customFormat="1" ht="19" thickBot="1" x14ac:dyDescent="0.5">
      <c r="B58" s="137" t="s">
        <v>154</v>
      </c>
    </row>
    <row r="59" spans="2:15" s="108" customFormat="1" ht="16" thickBot="1" x14ac:dyDescent="0.4">
      <c r="B59" s="148" t="s">
        <v>131</v>
      </c>
      <c r="C59" s="149" t="s">
        <v>133</v>
      </c>
      <c r="D59" s="149" t="s">
        <v>134</v>
      </c>
      <c r="E59" s="149" t="s">
        <v>135</v>
      </c>
      <c r="F59" s="149" t="s">
        <v>136</v>
      </c>
      <c r="G59" s="149" t="s">
        <v>137</v>
      </c>
      <c r="H59" s="149" t="s">
        <v>138</v>
      </c>
      <c r="I59" s="149" t="s">
        <v>139</v>
      </c>
      <c r="J59" s="149" t="s">
        <v>140</v>
      </c>
      <c r="K59" s="149" t="s">
        <v>141</v>
      </c>
      <c r="L59" s="149" t="s">
        <v>142</v>
      </c>
      <c r="M59" s="149" t="s">
        <v>143</v>
      </c>
      <c r="N59" s="149" t="s">
        <v>144</v>
      </c>
      <c r="O59" s="148" t="s">
        <v>145</v>
      </c>
    </row>
    <row r="60" spans="2:15" s="108" customFormat="1" ht="16" thickBot="1" x14ac:dyDescent="0.4">
      <c r="B60" s="148" t="s">
        <v>132</v>
      </c>
      <c r="C60" s="150">
        <v>5.12</v>
      </c>
      <c r="D60" s="150">
        <v>5.75</v>
      </c>
      <c r="E60" s="150">
        <v>6.37</v>
      </c>
      <c r="F60" s="150">
        <v>6.61</v>
      </c>
      <c r="G60" s="150">
        <v>6.34</v>
      </c>
      <c r="H60" s="150">
        <v>6.05</v>
      </c>
      <c r="I60" s="150">
        <v>6.26</v>
      </c>
      <c r="J60" s="150">
        <v>5.51</v>
      </c>
      <c r="K60" s="150">
        <v>6.03</v>
      </c>
      <c r="L60" s="150">
        <v>5.81</v>
      </c>
      <c r="M60" s="150">
        <v>5.226</v>
      </c>
      <c r="N60" s="150">
        <v>5.03</v>
      </c>
      <c r="O60" s="151">
        <f>IF('Table rentabilité optimisé'!G95="x",MAX(C60:N60),IF('Table rentabilité optimisé'!G96="x",MIN(C60:N60),IF('Table rentabilité optimisé'!G97="x",AVERAGE(C60:N60),"erreur")))</f>
        <v>5.8421666666666674</v>
      </c>
    </row>
    <row r="61" spans="2:15" s="1" customFormat="1" x14ac:dyDescent="0.35"/>
    <row r="62" spans="2:15" s="1" customFormat="1" ht="18.5" x14ac:dyDescent="0.45">
      <c r="B62" s="137" t="s">
        <v>172</v>
      </c>
    </row>
    <row r="63" spans="2:15" s="1" customFormat="1" ht="16" thickBot="1" x14ac:dyDescent="0.4">
      <c r="B63" s="211" t="s">
        <v>236</v>
      </c>
      <c r="D63" s="169" t="s">
        <v>175</v>
      </c>
      <c r="E63" s="169" t="s">
        <v>176</v>
      </c>
      <c r="F63" s="169" t="s">
        <v>177</v>
      </c>
      <c r="J63" s="169" t="s">
        <v>175</v>
      </c>
      <c r="K63" s="169" t="s">
        <v>176</v>
      </c>
      <c r="L63" s="169" t="s">
        <v>177</v>
      </c>
      <c r="M63" s="169" t="s">
        <v>156</v>
      </c>
    </row>
    <row r="64" spans="2:15" s="1" customFormat="1" ht="16" thickBot="1" x14ac:dyDescent="0.4">
      <c r="B64" s="370" t="s">
        <v>173</v>
      </c>
      <c r="C64" s="168" t="s">
        <v>181</v>
      </c>
      <c r="D64" s="167">
        <v>50</v>
      </c>
      <c r="E64" s="167">
        <v>500</v>
      </c>
      <c r="F64" s="167" t="s">
        <v>182</v>
      </c>
      <c r="H64" s="370" t="s">
        <v>173</v>
      </c>
      <c r="I64" s="168" t="s">
        <v>180</v>
      </c>
      <c r="J64" s="167">
        <f>(F100*30)-SUM(K64:L64)</f>
        <v>50</v>
      </c>
      <c r="K64" s="167">
        <f>IF((F100*30)&gt;D64,(F100*30)-D64-L64,0)</f>
        <v>450</v>
      </c>
      <c r="L64" s="167">
        <f>IF((F100*30)&gt;E64,(F100*30)-E64,0)</f>
        <v>702.22</v>
      </c>
      <c r="M64" s="170">
        <f>SUM(J64:L64)</f>
        <v>1202.22</v>
      </c>
    </row>
    <row r="65" spans="2:23" s="1" customFormat="1" ht="16" thickBot="1" x14ac:dyDescent="0.4">
      <c r="B65" s="371"/>
      <c r="C65" s="168" t="s">
        <v>179</v>
      </c>
      <c r="D65" s="167">
        <v>128.85</v>
      </c>
      <c r="E65" s="167">
        <v>135.68</v>
      </c>
      <c r="F65" s="167">
        <v>147.68</v>
      </c>
      <c r="H65" s="371"/>
      <c r="I65" s="168" t="s">
        <v>188</v>
      </c>
      <c r="J65" s="171">
        <f>J64*D65</f>
        <v>6442.5</v>
      </c>
      <c r="K65" s="171">
        <f>K64*E65</f>
        <v>61056</v>
      </c>
      <c r="L65" s="171">
        <f>L64*F65</f>
        <v>103703.84960000002</v>
      </c>
      <c r="M65" s="171">
        <f>SUM(J65:L65)</f>
        <v>171202.34960000002</v>
      </c>
    </row>
    <row r="66" spans="2:23" s="1" customFormat="1" ht="16" thickBot="1" x14ac:dyDescent="0.4">
      <c r="B66" s="370" t="s">
        <v>174</v>
      </c>
      <c r="C66" s="168" t="s">
        <v>178</v>
      </c>
      <c r="D66" s="167">
        <v>100</v>
      </c>
      <c r="E66" s="167">
        <v>500</v>
      </c>
      <c r="F66" s="167" t="s">
        <v>182</v>
      </c>
      <c r="H66" s="370" t="s">
        <v>174</v>
      </c>
      <c r="I66" s="168" t="s">
        <v>180</v>
      </c>
      <c r="J66" s="167">
        <f>(F100*30)-SUM(K66:L66)</f>
        <v>100</v>
      </c>
      <c r="K66" s="167">
        <f>IF((F100*30)&gt;D66,(F100*30)-D66-L66,0)</f>
        <v>400</v>
      </c>
      <c r="L66" s="167">
        <f>IF((F100*30)&gt;E66,(F100*30)-E66,0)</f>
        <v>702.22</v>
      </c>
      <c r="M66" s="170">
        <f>SUM(J66:L66)</f>
        <v>1202.22</v>
      </c>
    </row>
    <row r="67" spans="2:23" s="1" customFormat="1" ht="16" thickBot="1" x14ac:dyDescent="0.4">
      <c r="B67" s="371"/>
      <c r="C67" s="168" t="s">
        <v>179</v>
      </c>
      <c r="D67" s="167">
        <v>129.81</v>
      </c>
      <c r="E67" s="167">
        <v>136.53</v>
      </c>
      <c r="F67" s="167">
        <v>149.24</v>
      </c>
      <c r="H67" s="371"/>
      <c r="I67" s="168" t="s">
        <v>188</v>
      </c>
      <c r="J67" s="171">
        <f>J66*D67</f>
        <v>12981</v>
      </c>
      <c r="K67" s="171">
        <f>K66*E67</f>
        <v>54612</v>
      </c>
      <c r="L67" s="171">
        <f>L66*F67</f>
        <v>104799.31280000001</v>
      </c>
      <c r="M67" s="171">
        <f>SUM(J67:L67)</f>
        <v>172392.31280000001</v>
      </c>
    </row>
    <row r="68" spans="2:23" s="1" customFormat="1" x14ac:dyDescent="0.35">
      <c r="B68" s="211"/>
      <c r="C68" s="212"/>
      <c r="D68" s="213"/>
      <c r="E68" s="213"/>
      <c r="F68" s="213"/>
      <c r="H68" s="211"/>
      <c r="I68" s="212"/>
      <c r="J68" s="214"/>
      <c r="K68" s="214"/>
      <c r="L68" s="214"/>
      <c r="M68" s="214"/>
    </row>
    <row r="69" spans="2:23" s="1" customFormat="1" x14ac:dyDescent="0.35">
      <c r="B69" s="218" t="s">
        <v>235</v>
      </c>
      <c r="C69" s="223" t="s">
        <v>240</v>
      </c>
      <c r="D69" s="224" t="s">
        <v>243</v>
      </c>
      <c r="E69" s="224" t="s">
        <v>247</v>
      </c>
      <c r="F69" s="216"/>
      <c r="H69" s="211"/>
      <c r="I69" s="212"/>
      <c r="J69" s="214"/>
      <c r="K69" s="214"/>
      <c r="L69" s="214"/>
      <c r="M69" s="214"/>
    </row>
    <row r="70" spans="2:23" s="1" customFormat="1" x14ac:dyDescent="0.35">
      <c r="B70" s="218" t="s">
        <v>238</v>
      </c>
      <c r="C70" s="219" t="s">
        <v>244</v>
      </c>
      <c r="D70" s="220" t="s">
        <v>248</v>
      </c>
      <c r="E70" s="221">
        <v>550000</v>
      </c>
      <c r="F70" s="213"/>
      <c r="H70" s="211"/>
      <c r="I70" s="212"/>
      <c r="J70" s="214"/>
      <c r="K70" s="214"/>
      <c r="L70" s="214"/>
      <c r="M70" s="214"/>
    </row>
    <row r="71" spans="2:23" s="1" customFormat="1" x14ac:dyDescent="0.35">
      <c r="B71" s="218" t="s">
        <v>250</v>
      </c>
      <c r="C71" s="219" t="s">
        <v>241</v>
      </c>
      <c r="D71" s="220" t="s">
        <v>249</v>
      </c>
      <c r="E71" s="221">
        <v>550000</v>
      </c>
      <c r="F71" s="213"/>
      <c r="H71" s="211"/>
      <c r="I71" s="212"/>
      <c r="J71" s="214"/>
      <c r="K71" s="214"/>
      <c r="L71" s="214"/>
      <c r="M71" s="214"/>
    </row>
    <row r="72" spans="2:23" s="1" customFormat="1" x14ac:dyDescent="0.35">
      <c r="B72" s="218" t="s">
        <v>239</v>
      </c>
      <c r="C72" s="219" t="s">
        <v>241</v>
      </c>
      <c r="D72" s="222">
        <v>4800000</v>
      </c>
      <c r="E72" s="221">
        <v>179000</v>
      </c>
      <c r="F72" s="213"/>
      <c r="H72" s="211"/>
      <c r="I72" s="212"/>
      <c r="J72" s="214"/>
      <c r="K72" s="214"/>
      <c r="L72" s="214"/>
      <c r="M72" s="214"/>
    </row>
    <row r="73" spans="2:23" s="1" customFormat="1" x14ac:dyDescent="0.35">
      <c r="B73" s="218" t="s">
        <v>245</v>
      </c>
      <c r="C73" s="219" t="s">
        <v>242</v>
      </c>
      <c r="D73" s="222">
        <v>8260</v>
      </c>
      <c r="E73" s="221">
        <v>179000</v>
      </c>
      <c r="F73" s="213"/>
      <c r="H73" s="211"/>
      <c r="I73" s="212"/>
      <c r="J73" s="214"/>
      <c r="K73" s="214"/>
      <c r="L73" s="214"/>
      <c r="M73" s="214"/>
    </row>
    <row r="74" spans="2:23" s="1" customFormat="1" x14ac:dyDescent="0.35">
      <c r="B74" s="217" t="s">
        <v>246</v>
      </c>
      <c r="C74" s="212"/>
      <c r="D74" s="213"/>
      <c r="E74" s="213"/>
      <c r="F74" s="213"/>
      <c r="H74" s="211"/>
      <c r="I74" s="212"/>
      <c r="J74" s="214"/>
      <c r="K74" s="214"/>
      <c r="L74" s="214"/>
      <c r="M74" s="214"/>
    </row>
    <row r="75" spans="2:23" s="1" customFormat="1" x14ac:dyDescent="0.35">
      <c r="B75" s="211"/>
      <c r="C75" s="212"/>
      <c r="D75" s="213"/>
      <c r="E75" s="213"/>
      <c r="F75" s="213"/>
      <c r="H75" s="211"/>
      <c r="I75" s="212"/>
      <c r="J75" s="214"/>
      <c r="K75" s="214"/>
      <c r="L75" s="214"/>
      <c r="M75" s="214"/>
    </row>
    <row r="76" spans="2:23" s="1" customFormat="1" x14ac:dyDescent="0.35"/>
    <row r="77" spans="2:23" ht="21" x14ac:dyDescent="0.5">
      <c r="B77" s="7" t="s">
        <v>118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Q77" s="1"/>
      <c r="R77" s="1"/>
      <c r="S77" s="1"/>
      <c r="T77" s="1"/>
      <c r="U77" s="1"/>
      <c r="V77" s="1"/>
      <c r="W77" s="1"/>
    </row>
    <row r="78" spans="2:23" s="1" customFormat="1" ht="16" thickBot="1" x14ac:dyDescent="0.4"/>
    <row r="79" spans="2:23" s="1" customFormat="1" ht="16" thickBot="1" x14ac:dyDescent="0.4">
      <c r="B79" s="12" t="s">
        <v>231</v>
      </c>
      <c r="F79" s="206"/>
      <c r="G79" s="158" t="s">
        <v>232</v>
      </c>
    </row>
    <row r="80" spans="2:23" s="1" customFormat="1" ht="5.15" customHeight="1" thickBot="1" x14ac:dyDescent="0.4">
      <c r="B80" s="12"/>
      <c r="F80" s="144"/>
      <c r="G80" s="144"/>
    </row>
    <row r="81" spans="2:7" s="1" customFormat="1" ht="16" thickBot="1" x14ac:dyDescent="0.4">
      <c r="B81" s="12" t="s">
        <v>119</v>
      </c>
      <c r="F81" s="142" t="s">
        <v>334</v>
      </c>
      <c r="G81" s="143"/>
    </row>
    <row r="82" spans="2:7" s="1" customFormat="1" ht="16" thickBot="1" x14ac:dyDescent="0.4">
      <c r="B82" s="12" t="s">
        <v>120</v>
      </c>
      <c r="F82" s="142" t="s">
        <v>314</v>
      </c>
      <c r="G82" s="143"/>
    </row>
    <row r="83" spans="2:7" s="1" customFormat="1" ht="16" thickBot="1" x14ac:dyDescent="0.4">
      <c r="B83" s="12" t="s">
        <v>335</v>
      </c>
      <c r="F83" s="142" t="s">
        <v>313</v>
      </c>
      <c r="G83" s="143"/>
    </row>
    <row r="84" spans="2:7" s="1" customFormat="1" ht="16" thickBot="1" x14ac:dyDescent="0.4">
      <c r="B84" s="12" t="s">
        <v>336</v>
      </c>
      <c r="F84" s="142" t="s">
        <v>315</v>
      </c>
      <c r="G84" s="143"/>
    </row>
    <row r="85" spans="2:7" s="1" customFormat="1" ht="16" thickBot="1" x14ac:dyDescent="0.4">
      <c r="B85" s="12" t="s">
        <v>323</v>
      </c>
      <c r="F85" s="306" t="s">
        <v>327</v>
      </c>
      <c r="G85" s="307"/>
    </row>
    <row r="86" spans="2:7" s="1" customFormat="1" ht="16" thickBot="1" x14ac:dyDescent="0.4">
      <c r="B86" s="12" t="s">
        <v>324</v>
      </c>
      <c r="F86" s="306" t="s">
        <v>326</v>
      </c>
      <c r="G86" s="307"/>
    </row>
    <row r="87" spans="2:7" s="1" customFormat="1" ht="16" thickBot="1" x14ac:dyDescent="0.4">
      <c r="B87" s="12" t="s">
        <v>325</v>
      </c>
      <c r="F87" s="306" t="s">
        <v>330</v>
      </c>
      <c r="G87" s="307"/>
    </row>
    <row r="88" spans="2:7" s="1" customFormat="1" ht="16" thickBot="1" x14ac:dyDescent="0.4">
      <c r="B88" s="12" t="s">
        <v>183</v>
      </c>
      <c r="F88" s="372" t="str">
        <f>IF(M65&lt;M67,B64,B66)</f>
        <v>UP-Petite Puissance</v>
      </c>
      <c r="G88" s="373"/>
    </row>
    <row r="89" spans="2:7" s="1" customFormat="1" ht="16" thickBot="1" x14ac:dyDescent="0.4">
      <c r="B89" s="12" t="s">
        <v>251</v>
      </c>
      <c r="F89" s="215" t="s">
        <v>237</v>
      </c>
      <c r="G89" s="143">
        <v>600</v>
      </c>
    </row>
    <row r="90" spans="2:7" s="1" customFormat="1" ht="16" thickBot="1" x14ac:dyDescent="0.4">
      <c r="B90" s="12" t="s">
        <v>253</v>
      </c>
      <c r="F90" s="225">
        <v>4462549</v>
      </c>
      <c r="G90" s="143">
        <v>33</v>
      </c>
    </row>
    <row r="91" spans="2:7" s="1" customFormat="1" ht="5.15" customHeight="1" thickBot="1" x14ac:dyDescent="0.4">
      <c r="B91" s="12"/>
      <c r="F91" s="134"/>
      <c r="G91" s="134"/>
    </row>
    <row r="92" spans="2:7" s="1" customFormat="1" ht="16" thickBot="1" x14ac:dyDescent="0.4">
      <c r="B92" s="12" t="s">
        <v>158</v>
      </c>
      <c r="F92" s="377">
        <v>0.9</v>
      </c>
      <c r="G92" s="378"/>
    </row>
    <row r="93" spans="2:7" s="1" customFormat="1" ht="16" thickBot="1" x14ac:dyDescent="0.4">
      <c r="B93" s="12" t="s">
        <v>149</v>
      </c>
      <c r="F93" s="157">
        <v>0.7</v>
      </c>
      <c r="G93" s="158"/>
    </row>
    <row r="94" spans="2:7" s="1" customFormat="1" ht="5.15" customHeight="1" thickBot="1" x14ac:dyDescent="0.4">
      <c r="B94" s="12"/>
      <c r="F94" s="144"/>
      <c r="G94" s="144"/>
    </row>
    <row r="95" spans="2:7" s="1" customFormat="1" ht="16" thickBot="1" x14ac:dyDescent="0.4">
      <c r="B95" s="12" t="s">
        <v>121</v>
      </c>
      <c r="F95" s="145" t="s">
        <v>122</v>
      </c>
      <c r="G95" s="146"/>
    </row>
    <row r="96" spans="2:7" s="1" customFormat="1" ht="16" thickBot="1" x14ac:dyDescent="0.4">
      <c r="B96" s="12"/>
      <c r="F96" s="145" t="s">
        <v>123</v>
      </c>
      <c r="G96" s="146"/>
    </row>
    <row r="97" spans="2:7" s="1" customFormat="1" ht="16" thickBot="1" x14ac:dyDescent="0.4">
      <c r="B97" s="12"/>
      <c r="F97" s="145" t="s">
        <v>125</v>
      </c>
      <c r="G97" s="146" t="s">
        <v>124</v>
      </c>
    </row>
    <row r="98" spans="2:7" s="1" customFormat="1" ht="5.15" customHeight="1" thickBot="1" x14ac:dyDescent="0.4">
      <c r="B98" s="12"/>
      <c r="F98" s="144"/>
      <c r="G98" s="144"/>
    </row>
    <row r="99" spans="2:7" s="1" customFormat="1" ht="20.5" customHeight="1" thickBot="1" x14ac:dyDescent="0.4">
      <c r="B99" s="12" t="s">
        <v>342</v>
      </c>
      <c r="F99" s="290">
        <f>(G17+G19+G21+G23+G25+G33)*1.2</f>
        <v>11.8764</v>
      </c>
      <c r="G99" s="156" t="s">
        <v>170</v>
      </c>
    </row>
    <row r="100" spans="2:7" s="1" customFormat="1" ht="17.149999999999999" customHeight="1" thickBot="1" x14ac:dyDescent="0.4">
      <c r="B100" s="12" t="s">
        <v>187</v>
      </c>
      <c r="F100" s="166">
        <f>SUMIF(C17:C33,"oui",L17:L33)</f>
        <v>40.073999999999998</v>
      </c>
      <c r="G100" s="156" t="s">
        <v>171</v>
      </c>
    </row>
    <row r="101" spans="2:7" s="1" customFormat="1" ht="16" thickBot="1" x14ac:dyDescent="0.4">
      <c r="B101" s="12" t="s">
        <v>126</v>
      </c>
      <c r="F101" s="379">
        <f>SUMIF(C17:C33,"oui",M17:M33)/O60</f>
        <v>9.7992020246891443</v>
      </c>
      <c r="G101" s="380"/>
    </row>
    <row r="102" spans="2:7" s="1" customFormat="1" ht="16" thickBot="1" x14ac:dyDescent="0.4">
      <c r="B102" s="12" t="s">
        <v>127</v>
      </c>
      <c r="F102" s="154">
        <f>SUMIF(C17:C33,"oui",L17:L33)*1000*(F92)/(F93*I52)</f>
        <v>1073.4107142857144</v>
      </c>
      <c r="G102" s="156"/>
    </row>
    <row r="103" spans="2:7" s="1" customFormat="1" ht="5.15" customHeight="1" thickBot="1" x14ac:dyDescent="0.4">
      <c r="B103" s="12"/>
      <c r="F103" s="144"/>
      <c r="G103" s="144"/>
    </row>
    <row r="104" spans="2:7" s="1" customFormat="1" ht="16" thickBot="1" x14ac:dyDescent="0.4">
      <c r="B104" s="12" t="s">
        <v>128</v>
      </c>
      <c r="F104" s="154">
        <f>ROUNDUP(F101/INDEX(C:C,MATCH(F81,B:B,0)),0)</f>
        <v>27</v>
      </c>
      <c r="G104" s="161" t="s">
        <v>164</v>
      </c>
    </row>
    <row r="105" spans="2:7" s="1" customFormat="1" ht="16" thickBot="1" x14ac:dyDescent="0.4">
      <c r="B105" s="12" t="s">
        <v>163</v>
      </c>
      <c r="F105" s="154">
        <f>ROUNDUP(I52/INDEX(K:K,MATCH(F82,H:H,0)),0)</f>
        <v>24</v>
      </c>
      <c r="G105" s="161" t="s">
        <v>164</v>
      </c>
    </row>
    <row r="106" spans="2:7" s="1" customFormat="1" ht="16" thickBot="1" x14ac:dyDescent="0.4">
      <c r="B106" s="12" t="s">
        <v>165</v>
      </c>
      <c r="F106" s="154">
        <f>ROUNDUP(F102/INDEX(I:I,MATCH(F82,H:H,0)),0)</f>
        <v>1</v>
      </c>
      <c r="G106" s="161" t="s">
        <v>164</v>
      </c>
    </row>
    <row r="107" spans="2:7" s="1" customFormat="1" ht="16" thickBot="1" x14ac:dyDescent="0.4">
      <c r="B107" s="12" t="s">
        <v>166</v>
      </c>
      <c r="F107" s="154">
        <f>F105*F106</f>
        <v>24</v>
      </c>
      <c r="G107" s="160" t="s">
        <v>164</v>
      </c>
    </row>
    <row r="108" spans="2:7" s="1" customFormat="1" ht="16" thickBot="1" x14ac:dyDescent="0.4">
      <c r="B108" s="12" t="s">
        <v>167</v>
      </c>
      <c r="F108" s="154">
        <f>INDEX(L:L,MATCH(F82,H:H,0))*(130%-F93)</f>
        <v>7.2000000000000011</v>
      </c>
      <c r="G108" s="160" t="s">
        <v>168</v>
      </c>
    </row>
    <row r="109" spans="2:7" s="1" customFormat="1" ht="16" thickBot="1" x14ac:dyDescent="0.4">
      <c r="B109" s="12" t="s">
        <v>315</v>
      </c>
      <c r="F109" s="154">
        <f>ROUNDUP(F99/INDEX(C:C,MATCH(F84,B:B,0)),0)</f>
        <v>2</v>
      </c>
      <c r="G109" s="160" t="s">
        <v>164</v>
      </c>
    </row>
    <row r="110" spans="2:7" s="1" customFormat="1" ht="16" thickBot="1" x14ac:dyDescent="0.4">
      <c r="B110" s="12" t="s">
        <v>340</v>
      </c>
      <c r="F110" s="154">
        <f>IF(OR(C50=24,C50=12),1,2)</f>
        <v>2</v>
      </c>
      <c r="G110" s="160" t="s">
        <v>164</v>
      </c>
    </row>
    <row r="111" spans="2:7" s="1" customFormat="1" ht="16" thickBot="1" x14ac:dyDescent="0.4">
      <c r="B111" s="12" t="s">
        <v>129</v>
      </c>
      <c r="F111" s="155"/>
      <c r="G111" s="143" t="s">
        <v>164</v>
      </c>
    </row>
    <row r="112" spans="2:7" s="1" customFormat="1" ht="5.15" customHeight="1" thickBot="1" x14ac:dyDescent="0.4">
      <c r="B112" s="12"/>
      <c r="F112" s="144"/>
      <c r="G112" s="132"/>
    </row>
    <row r="113" spans="1:35" s="1" customFormat="1" ht="16" thickBot="1" x14ac:dyDescent="0.4">
      <c r="B113" s="12" t="s">
        <v>100</v>
      </c>
      <c r="F113" s="118">
        <v>4</v>
      </c>
      <c r="G113" s="1" t="s">
        <v>101</v>
      </c>
    </row>
    <row r="114" spans="1:35" s="1" customFormat="1" x14ac:dyDescent="0.35">
      <c r="B114" s="12"/>
      <c r="F114" s="13"/>
    </row>
    <row r="115" spans="1:35" s="1" customFormat="1" ht="21" x14ac:dyDescent="0.5">
      <c r="B115" s="7" t="s">
        <v>8</v>
      </c>
      <c r="C115" s="14"/>
      <c r="D115" s="14"/>
      <c r="E115" s="14"/>
      <c r="F115" s="15"/>
      <c r="G115" s="14"/>
      <c r="H115" s="14"/>
      <c r="I115" s="14"/>
      <c r="J115" s="14"/>
      <c r="K115" s="14"/>
      <c r="L115" s="14"/>
      <c r="M115" s="14"/>
      <c r="N115" s="14"/>
      <c r="O115" s="14"/>
    </row>
    <row r="116" spans="1:35" s="1" customFormat="1" ht="21" x14ac:dyDescent="0.5">
      <c r="B116" s="16"/>
      <c r="C116" s="17"/>
      <c r="D116" s="17"/>
      <c r="E116" s="17"/>
      <c r="F116" s="18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35" ht="16" thickBot="1" x14ac:dyDescent="0.4">
      <c r="B117" s="19" t="s">
        <v>9</v>
      </c>
      <c r="C117" s="1"/>
      <c r="D117" s="1"/>
      <c r="E117" s="1"/>
      <c r="F117" s="1"/>
      <c r="G117" s="1"/>
      <c r="H117" s="1"/>
      <c r="I117" s="1"/>
      <c r="Q117" s="1"/>
      <c r="R117" s="1"/>
      <c r="S117" s="1"/>
      <c r="T117" s="1"/>
      <c r="U117" s="1"/>
      <c r="V117" s="1"/>
      <c r="W117" s="1"/>
    </row>
    <row r="118" spans="1:35" ht="16" thickBot="1" x14ac:dyDescent="0.4">
      <c r="B118" s="20" t="s">
        <v>10</v>
      </c>
      <c r="C118" s="375" t="s">
        <v>11</v>
      </c>
      <c r="D118" s="376"/>
      <c r="E118" s="21" t="s">
        <v>12</v>
      </c>
      <c r="F118" s="21" t="s">
        <v>13</v>
      </c>
      <c r="G118" s="1"/>
      <c r="H118" s="1" t="s">
        <v>14</v>
      </c>
      <c r="I118" s="1"/>
      <c r="K118" s="22">
        <v>0.03</v>
      </c>
      <c r="Q118" s="1"/>
      <c r="R118" s="1"/>
      <c r="S118" s="1"/>
      <c r="T118" s="1"/>
      <c r="U118" s="1"/>
      <c r="V118" s="1"/>
      <c r="W118" s="1"/>
    </row>
    <row r="119" spans="1:35" ht="16" thickBot="1" x14ac:dyDescent="0.4">
      <c r="B119" s="204" t="s">
        <v>225</v>
      </c>
      <c r="C119" s="24">
        <f>F79*1000</f>
        <v>0</v>
      </c>
      <c r="D119" s="24" t="s">
        <v>102</v>
      </c>
      <c r="E119" s="208">
        <v>180</v>
      </c>
      <c r="F119" s="24">
        <f>E119*C119</f>
        <v>0</v>
      </c>
      <c r="G119" s="1"/>
      <c r="H119" s="1"/>
      <c r="I119" s="1"/>
      <c r="Q119" s="1"/>
      <c r="R119" s="1"/>
      <c r="S119" s="1"/>
      <c r="T119" s="1"/>
      <c r="U119" s="1"/>
      <c r="V119" s="1"/>
      <c r="W119" s="1"/>
    </row>
    <row r="120" spans="1:35" ht="16" thickBot="1" x14ac:dyDescent="0.4">
      <c r="B120" s="204" t="s">
        <v>224</v>
      </c>
      <c r="C120" s="24">
        <f>C119</f>
        <v>0</v>
      </c>
      <c r="D120" s="24" t="s">
        <v>102</v>
      </c>
      <c r="E120" s="208">
        <v>5</v>
      </c>
      <c r="F120" s="24">
        <f>E120*C120</f>
        <v>0</v>
      </c>
      <c r="G120" s="1"/>
      <c r="H120" s="1" t="s">
        <v>186</v>
      </c>
      <c r="I120" s="1"/>
      <c r="J120" s="1" t="s">
        <v>184</v>
      </c>
      <c r="K120" s="59">
        <f>((MIN(M67,M65)*12)+IF(F89="MT",(G89*D73)+D72+E70+F90,(G89*D73)))-(SUM(F135:F144,F149)+SUM(G135:G144,G149))</f>
        <v>2700336.0952000003</v>
      </c>
      <c r="L120" s="135"/>
      <c r="Q120" s="1"/>
      <c r="R120" s="1"/>
      <c r="S120" s="1"/>
      <c r="T120" s="1"/>
      <c r="U120" s="1"/>
      <c r="V120" s="1"/>
      <c r="W120" s="1"/>
    </row>
    <row r="121" spans="1:35" ht="16" thickBot="1" x14ac:dyDescent="0.4">
      <c r="B121" s="204" t="s">
        <v>234</v>
      </c>
      <c r="C121" s="24">
        <v>0</v>
      </c>
      <c r="D121" s="24" t="s">
        <v>102</v>
      </c>
      <c r="E121" s="208">
        <v>2.5</v>
      </c>
      <c r="F121" s="24">
        <f>E121*C121</f>
        <v>0</v>
      </c>
      <c r="G121" s="1"/>
      <c r="H121" s="1"/>
      <c r="I121" s="1"/>
      <c r="J121" s="1" t="s">
        <v>185</v>
      </c>
      <c r="K121" s="59">
        <f>((MIN(M67,M65)*12*5)+IF(F89="MT",(G89*D73)+D72+E70+F90,(G89*D73)))-(SUM(F135:F144,F149)+(SUM(G135:G144,G149)*5))</f>
        <v>7152936.4760000035</v>
      </c>
      <c r="Q121" s="1"/>
      <c r="R121" s="1"/>
      <c r="S121" s="1"/>
      <c r="T121" s="1"/>
      <c r="U121" s="1"/>
      <c r="V121" s="1"/>
      <c r="W121" s="1"/>
    </row>
    <row r="122" spans="1:35" ht="16" thickBot="1" x14ac:dyDescent="0.4">
      <c r="B122" s="23" t="s">
        <v>258</v>
      </c>
      <c r="C122" s="24">
        <f>SUM(C157:C162)</f>
        <v>1235000</v>
      </c>
      <c r="D122" s="24" t="s">
        <v>102</v>
      </c>
      <c r="E122" s="208">
        <v>3</v>
      </c>
      <c r="F122" s="24">
        <f>E122*C122</f>
        <v>3705000</v>
      </c>
      <c r="G122" s="1"/>
      <c r="H122" s="1"/>
      <c r="I122" s="1"/>
      <c r="J122" s="1" t="s">
        <v>252</v>
      </c>
      <c r="K122" s="59">
        <f>((MIN(M67,M65)*12*10)+IF(F89="MT",(G89*D73)+D72+E70+F90,(G89*D73)))-(SUM(F135:F144,F149)+(SUM(G135:G144,G149)*10))</f>
        <v>12718686.952000007</v>
      </c>
      <c r="Q122" s="1"/>
      <c r="R122" s="1"/>
      <c r="S122" s="1"/>
      <c r="T122" s="1"/>
      <c r="U122" s="1"/>
      <c r="V122" s="1"/>
      <c r="W122" s="1"/>
    </row>
    <row r="123" spans="1:35" ht="16" thickBot="1" x14ac:dyDescent="0.4">
      <c r="B123" s="26" t="s">
        <v>344</v>
      </c>
      <c r="C123" s="209">
        <v>6</v>
      </c>
      <c r="D123" s="209"/>
      <c r="E123" s="210">
        <v>125000</v>
      </c>
      <c r="F123" s="24">
        <f>E123*C123</f>
        <v>750000</v>
      </c>
      <c r="G123" s="1"/>
      <c r="H123" s="1"/>
      <c r="I123" s="1"/>
      <c r="Q123" s="1"/>
      <c r="R123" s="1"/>
      <c r="S123" s="1"/>
      <c r="T123" s="1"/>
      <c r="U123" s="1"/>
      <c r="V123" s="1"/>
      <c r="W123" s="1"/>
    </row>
    <row r="124" spans="1:35" ht="16" thickBot="1" x14ac:dyDescent="0.4">
      <c r="B124" s="207" t="s">
        <v>233</v>
      </c>
      <c r="C124" s="123">
        <v>1</v>
      </c>
      <c r="D124" s="110" t="str">
        <f>G113</f>
        <v>personnes</v>
      </c>
      <c r="E124" s="159">
        <v>50000</v>
      </c>
      <c r="F124" s="110">
        <f>E124*C124*12</f>
        <v>600000</v>
      </c>
      <c r="G124" s="1"/>
      <c r="H124" s="27"/>
      <c r="I124" s="1"/>
      <c r="Q124" s="1"/>
      <c r="R124" s="1"/>
      <c r="S124" s="1"/>
      <c r="T124" s="1"/>
      <c r="U124" s="1"/>
      <c r="V124" s="1"/>
      <c r="W124" s="1"/>
    </row>
    <row r="125" spans="1:35" ht="16" thickBot="1" x14ac:dyDescent="0.4">
      <c r="B125" s="28" t="s">
        <v>15</v>
      </c>
      <c r="C125" s="29"/>
      <c r="D125" s="29"/>
      <c r="E125" s="30"/>
      <c r="F125" s="31">
        <f>SUM(F119:F124)</f>
        <v>5055000</v>
      </c>
      <c r="G125" s="165"/>
      <c r="H125" s="165"/>
      <c r="I125" s="1"/>
      <c r="Q125" s="1"/>
      <c r="R125" s="1"/>
      <c r="S125" s="1"/>
      <c r="T125" s="1"/>
      <c r="U125" s="1"/>
      <c r="V125" s="1"/>
      <c r="W125" s="1"/>
    </row>
    <row r="126" spans="1:35" s="1" customFormat="1" x14ac:dyDescent="0.35"/>
    <row r="127" spans="1:35" s="1" customFormat="1" ht="16" thickBot="1" x14ac:dyDescent="0.4">
      <c r="B127" s="32" t="s">
        <v>16</v>
      </c>
    </row>
    <row r="128" spans="1:35" s="37" customFormat="1" ht="31.5" thickBot="1" x14ac:dyDescent="0.4">
      <c r="A128" s="33"/>
      <c r="B128" s="34" t="s">
        <v>17</v>
      </c>
      <c r="C128" s="35" t="s">
        <v>11</v>
      </c>
      <c r="D128" s="36" t="s">
        <v>18</v>
      </c>
      <c r="E128" s="35" t="s">
        <v>20</v>
      </c>
      <c r="F128" s="36" t="s">
        <v>19</v>
      </c>
      <c r="G128" s="35" t="s">
        <v>21</v>
      </c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</row>
    <row r="129" spans="1:23" ht="16" thickBot="1" x14ac:dyDescent="0.4">
      <c r="B129" s="186" t="str">
        <f>B17</f>
        <v>Moulin à grains, 250 Kg/h</v>
      </c>
      <c r="C129" s="24">
        <f>IF($B$5=INDEX($B$6:$B$7,1,1),D17,'investissement réel'!B4)</f>
        <v>1</v>
      </c>
      <c r="D129" s="24">
        <f>IF($B$5=INDEX($B$6:$B$7,1,1),INDEX(I:I,MATCH(F86,B:B,0)),'investissement réel'!C4)</f>
        <v>1000000</v>
      </c>
      <c r="E129" s="325">
        <v>15</v>
      </c>
      <c r="F129" s="39">
        <f>C129*D129</f>
        <v>1000000</v>
      </c>
      <c r="G129" s="40">
        <f>IFERROR(F129/E129,0)</f>
        <v>66666.666666666672</v>
      </c>
      <c r="H129" s="1"/>
      <c r="I129" s="1"/>
      <c r="Q129" s="1"/>
      <c r="R129" s="1"/>
      <c r="S129" s="1"/>
      <c r="T129" s="1"/>
      <c r="U129" s="1"/>
      <c r="V129" s="1"/>
      <c r="W129" s="1"/>
    </row>
    <row r="130" spans="1:23" ht="16" thickBot="1" x14ac:dyDescent="0.4">
      <c r="B130" s="186" t="str">
        <f>B23</f>
        <v>Congélateur 360L</v>
      </c>
      <c r="C130" s="24">
        <f>IF($B$5=INDEX($B$6:$B$7,1,1),D23,'investissement réel'!B5)</f>
        <v>1</v>
      </c>
      <c r="D130" s="24">
        <f>IF($B$5=INDEX($B$6:$B$7,1,1),I23,'investissement réel'!C5)</f>
        <v>400000</v>
      </c>
      <c r="E130" s="325">
        <v>7</v>
      </c>
      <c r="F130" s="39">
        <f t="shared" ref="F130:F148" si="5">C130*D130</f>
        <v>400000</v>
      </c>
      <c r="G130" s="40">
        <f t="shared" ref="G130:G149" si="6">IFERROR(F130/E130,0)</f>
        <v>57142.857142857145</v>
      </c>
      <c r="H130" s="1"/>
      <c r="I130" s="1"/>
      <c r="Q130" s="1"/>
      <c r="R130" s="1"/>
      <c r="S130" s="1"/>
      <c r="T130" s="1"/>
      <c r="U130" s="1"/>
      <c r="V130" s="1"/>
      <c r="W130" s="1"/>
    </row>
    <row r="131" spans="1:23" ht="16" thickBot="1" x14ac:dyDescent="0.4">
      <c r="B131" s="186" t="str">
        <f>B25</f>
        <v>Banc de recharge de smartphone</v>
      </c>
      <c r="C131" s="24">
        <f>IF($B$5=INDEX($B$6:$B$7,1,1),D25,'investissement réel'!B6)</f>
        <v>1</v>
      </c>
      <c r="D131" s="24">
        <f>IF($B$5=INDEX($B$6:$B$7,1,1),I25,'investissement réel'!C6)</f>
        <v>20000</v>
      </c>
      <c r="E131" s="325">
        <v>10</v>
      </c>
      <c r="F131" s="39">
        <f t="shared" si="5"/>
        <v>20000</v>
      </c>
      <c r="G131" s="40">
        <f t="shared" si="6"/>
        <v>2000</v>
      </c>
      <c r="H131" s="1"/>
      <c r="I131" s="1"/>
      <c r="Q131" s="1"/>
      <c r="R131" s="1"/>
      <c r="S131" s="1"/>
      <c r="T131" s="1"/>
      <c r="U131" s="1"/>
      <c r="V131" s="1"/>
      <c r="W131" s="1"/>
    </row>
    <row r="132" spans="1:23" ht="16" thickBot="1" x14ac:dyDescent="0.4">
      <c r="B132" s="186" t="str">
        <f>B19</f>
        <v>Décortiqueuse électrique 150 Kg/h</v>
      </c>
      <c r="C132" s="24">
        <f>IF($B$5=INDEX($B$6:$B$7,1,1),D19,'investissement réel'!B7)</f>
        <v>1</v>
      </c>
      <c r="D132" s="24">
        <f>IF($B$5=INDEX($B$6:$B$7,1,1),INDEX(I:I,MATCH(F85,B:B,0)),'investissement réel'!C7)</f>
        <v>1000000</v>
      </c>
      <c r="E132" s="325">
        <v>15</v>
      </c>
      <c r="F132" s="39">
        <f t="shared" si="5"/>
        <v>1000000</v>
      </c>
      <c r="G132" s="40">
        <f t="shared" si="6"/>
        <v>66666.666666666672</v>
      </c>
      <c r="H132" s="1"/>
      <c r="I132" s="1"/>
      <c r="Q132" s="1"/>
      <c r="R132" s="1"/>
      <c r="S132" s="1"/>
      <c r="T132" s="1"/>
      <c r="U132" s="1"/>
      <c r="V132" s="1"/>
      <c r="W132" s="1"/>
    </row>
    <row r="133" spans="1:23" ht="16" thickBot="1" x14ac:dyDescent="0.4">
      <c r="B133" s="186" t="s">
        <v>221</v>
      </c>
      <c r="C133" s="24">
        <f>IF($B$5=INDEX($B$6:$B$7,1,1),D21,'investissement réel'!B8)</f>
        <v>1</v>
      </c>
      <c r="D133" s="24">
        <f>IF($B$5=INDEX($B$6:$B$7,1,1),INDEX(I:I,MATCH(F87,B:B,0)),'investissement réel'!C8)</f>
        <v>1500000</v>
      </c>
      <c r="E133" s="325">
        <v>15</v>
      </c>
      <c r="F133" s="39">
        <f t="shared" si="5"/>
        <v>1500000</v>
      </c>
      <c r="G133" s="40">
        <f t="shared" si="6"/>
        <v>100000</v>
      </c>
      <c r="H133" s="1"/>
      <c r="I133" s="1"/>
      <c r="Q133" s="1"/>
      <c r="R133" s="1"/>
      <c r="S133" s="1"/>
      <c r="T133" s="1"/>
      <c r="U133" s="1"/>
      <c r="V133" s="1"/>
      <c r="W133" s="1"/>
    </row>
    <row r="134" spans="1:23" ht="16" thickBot="1" x14ac:dyDescent="0.4">
      <c r="B134" s="186" t="s">
        <v>215</v>
      </c>
      <c r="C134" s="24">
        <f>IF($B$5=INDEX($B$6:$B$7,1,1),D33,'investissement réel'!B9)</f>
        <v>3</v>
      </c>
      <c r="D134" s="24">
        <f>IF($B$5=INDEX($B$6:$B$7,1,1),I33,'investissement réel'!C9)</f>
        <v>1500</v>
      </c>
      <c r="E134" s="325">
        <v>2</v>
      </c>
      <c r="F134" s="39">
        <f t="shared" si="5"/>
        <v>4500</v>
      </c>
      <c r="G134" s="40">
        <f t="shared" si="6"/>
        <v>2250</v>
      </c>
      <c r="H134" s="1"/>
      <c r="I134" s="1"/>
      <c r="Q134" s="1"/>
      <c r="R134" s="1"/>
      <c r="S134" s="1"/>
      <c r="T134" s="1"/>
      <c r="U134" s="1"/>
      <c r="V134" s="1"/>
      <c r="W134" s="1"/>
    </row>
    <row r="135" spans="1:23" ht="16" thickBot="1" x14ac:dyDescent="0.4">
      <c r="A135" s="185"/>
      <c r="B135" s="38" t="s">
        <v>333</v>
      </c>
      <c r="C135" s="24">
        <f>IF($B$5=INDEX($B$6:$B$7,1,1),F104,'investissement réel'!B10)</f>
        <v>27</v>
      </c>
      <c r="D135" s="24">
        <f>IF($B$5=INDEX($B$6:$B$7,1,1),INDEX(D:D,MATCH(F81,B:B,0)),'investissement réel'!C10)</f>
        <v>78148</v>
      </c>
      <c r="E135" s="325">
        <v>20</v>
      </c>
      <c r="F135" s="39">
        <f t="shared" si="5"/>
        <v>2109996</v>
      </c>
      <c r="G135" s="40">
        <f t="shared" si="6"/>
        <v>105499.8</v>
      </c>
      <c r="H135" s="1"/>
      <c r="I135" s="1"/>
      <c r="Q135" s="1"/>
      <c r="R135" s="1"/>
      <c r="S135" s="1"/>
      <c r="T135" s="1"/>
      <c r="U135" s="1"/>
      <c r="V135" s="1"/>
      <c r="W135" s="1"/>
    </row>
    <row r="136" spans="1:23" ht="16" thickBot="1" x14ac:dyDescent="0.4">
      <c r="B136" s="38" t="s">
        <v>314</v>
      </c>
      <c r="C136" s="24">
        <f>IF($B$5=INDEX($B$6:$B$7,1,1),F107,'investissement réel'!B12)</f>
        <v>24</v>
      </c>
      <c r="D136" s="24">
        <f>IF($B$5=INDEX($B$6:$B$7,1,1),INDEX(J:J,MATCH(F82,H:H,0)),'investissement réel'!C12)</f>
        <v>194400.625</v>
      </c>
      <c r="E136" s="325">
        <v>10</v>
      </c>
      <c r="F136" s="39">
        <f t="shared" si="5"/>
        <v>4665615</v>
      </c>
      <c r="G136" s="40">
        <f t="shared" si="6"/>
        <v>466561.5</v>
      </c>
      <c r="H136" s="1"/>
      <c r="I136" s="1"/>
      <c r="Q136" s="1"/>
      <c r="R136" s="1"/>
      <c r="S136" s="1"/>
      <c r="T136" s="1"/>
      <c r="U136" s="1"/>
      <c r="V136" s="1"/>
      <c r="W136" s="1"/>
    </row>
    <row r="137" spans="1:23" ht="16" thickBot="1" x14ac:dyDescent="0.4">
      <c r="B137" s="41" t="s">
        <v>313</v>
      </c>
      <c r="C137" s="24">
        <f>IF($B$5=INDEX($B$6:$B$7,1,1),0,'investissement réel'!B11)</f>
        <v>0</v>
      </c>
      <c r="D137" s="24">
        <f>IF($B$5=INDEX($B$6:$B$7,1,1),0,'investissement réel'!C11)</f>
        <v>0</v>
      </c>
      <c r="E137" s="326">
        <v>7</v>
      </c>
      <c r="F137" s="39">
        <f t="shared" si="5"/>
        <v>0</v>
      </c>
      <c r="G137" s="40">
        <f t="shared" si="6"/>
        <v>0</v>
      </c>
      <c r="H137" s="1"/>
      <c r="I137" s="1"/>
      <c r="Q137" s="1"/>
      <c r="R137" s="1"/>
      <c r="S137" s="1"/>
      <c r="T137" s="1"/>
      <c r="U137" s="1"/>
      <c r="V137" s="1"/>
      <c r="W137" s="1"/>
    </row>
    <row r="138" spans="1:23" ht="16" thickBot="1" x14ac:dyDescent="0.4">
      <c r="B138" s="38" t="s">
        <v>22</v>
      </c>
      <c r="C138" s="24">
        <f>IF($B$5=INDEX($B$6:$B$7,1,1),D34,'investissement réel'!B22)</f>
        <v>27</v>
      </c>
      <c r="D138" s="24">
        <f>IF($B$5=INDEX($B$6:$B$7,1,1),I34,'investissement réel'!C22)</f>
        <v>35000</v>
      </c>
      <c r="E138" s="325">
        <v>10</v>
      </c>
      <c r="F138" s="39">
        <f t="shared" si="5"/>
        <v>945000</v>
      </c>
      <c r="G138" s="40">
        <f t="shared" si="6"/>
        <v>94500</v>
      </c>
      <c r="H138" s="1"/>
      <c r="I138" s="1"/>
      <c r="Q138" s="1"/>
      <c r="R138" s="1"/>
      <c r="S138" s="1"/>
      <c r="T138" s="1"/>
      <c r="U138" s="1"/>
      <c r="V138" s="1"/>
      <c r="W138" s="1"/>
    </row>
    <row r="139" spans="1:23" ht="16" thickBot="1" x14ac:dyDescent="0.4">
      <c r="B139" s="38" t="s">
        <v>315</v>
      </c>
      <c r="C139" s="24">
        <f>IF($B$5=INDEX($B$6:$B$7,1,1),F109,'investissement réel'!B13)</f>
        <v>2</v>
      </c>
      <c r="D139" s="24">
        <f>IF($B$5=INDEX($B$6:$B$7,1,1),INDEX(D:D,MATCH(F84,B:B,0)),'investissement réel'!C13)</f>
        <v>1660376</v>
      </c>
      <c r="E139" s="325">
        <v>15</v>
      </c>
      <c r="F139" s="39">
        <f t="shared" si="5"/>
        <v>3320752</v>
      </c>
      <c r="G139" s="40">
        <f t="shared" si="6"/>
        <v>221383.46666666667</v>
      </c>
      <c r="H139" s="1"/>
      <c r="I139" s="1"/>
      <c r="Q139" s="1"/>
      <c r="R139" s="1"/>
      <c r="S139" s="1"/>
      <c r="T139" s="1"/>
      <c r="U139" s="1"/>
      <c r="V139" s="1"/>
      <c r="W139" s="1"/>
    </row>
    <row r="140" spans="1:23" ht="16" thickBot="1" x14ac:dyDescent="0.4">
      <c r="B140" s="38" t="s">
        <v>316</v>
      </c>
      <c r="C140" s="24">
        <f>IF($B$5=INDEX($B$6:$B$7,1,1),D41,'investissement réel'!B14)</f>
        <v>0</v>
      </c>
      <c r="D140" s="24">
        <f>IF($B$5=INDEX($B$6:$B$7,1,1),I41,'investissement réel'!C14)</f>
        <v>0</v>
      </c>
      <c r="E140" s="325">
        <v>15</v>
      </c>
      <c r="F140" s="39">
        <f t="shared" si="5"/>
        <v>0</v>
      </c>
      <c r="G140" s="40">
        <f t="shared" si="6"/>
        <v>0</v>
      </c>
      <c r="H140" s="1"/>
      <c r="I140" s="1"/>
      <c r="Q140" s="1"/>
      <c r="R140" s="1"/>
      <c r="S140" s="1"/>
      <c r="T140" s="1"/>
      <c r="U140" s="1"/>
      <c r="V140" s="1"/>
      <c r="W140" s="1"/>
    </row>
    <row r="141" spans="1:23" ht="16" thickBot="1" x14ac:dyDescent="0.4">
      <c r="B141" s="38" t="s">
        <v>317</v>
      </c>
      <c r="C141" s="24">
        <f>IF($B$5=INDEX($B$6:$B$7,1,1),D42,'investissement réel'!B15)</f>
        <v>0</v>
      </c>
      <c r="D141" s="24">
        <f>IF($B$5=INDEX($B$6:$B$7,1,1),I42,'investissement réel'!C15)</f>
        <v>0</v>
      </c>
      <c r="E141" s="325">
        <v>20</v>
      </c>
      <c r="F141" s="39">
        <f t="shared" si="5"/>
        <v>0</v>
      </c>
      <c r="G141" s="40">
        <f t="shared" si="6"/>
        <v>0</v>
      </c>
      <c r="H141" s="1"/>
      <c r="I141" s="1"/>
      <c r="Q141" s="1"/>
      <c r="R141" s="1"/>
      <c r="S141" s="1"/>
      <c r="T141" s="1"/>
      <c r="U141" s="1"/>
      <c r="V141" s="1"/>
      <c r="W141" s="1"/>
    </row>
    <row r="142" spans="1:23" ht="16" thickBot="1" x14ac:dyDescent="0.4">
      <c r="B142" s="38" t="s">
        <v>255</v>
      </c>
      <c r="C142" s="24">
        <f>IF($B$5=INDEX($B$6:$B$7,1,1),D35,'investissement réel'!B23)</f>
        <v>1</v>
      </c>
      <c r="D142" s="24">
        <f>IF($B$5=INDEX($B$6:$B$7,1,1),I35,'investissement réel'!C23)</f>
        <v>0</v>
      </c>
      <c r="E142" s="325">
        <v>10</v>
      </c>
      <c r="F142" s="39">
        <f t="shared" si="5"/>
        <v>0</v>
      </c>
      <c r="G142" s="40">
        <f t="shared" si="6"/>
        <v>0</v>
      </c>
      <c r="H142" s="1"/>
      <c r="I142" s="1"/>
      <c r="Q142" s="1"/>
      <c r="R142" s="1"/>
      <c r="S142" s="1"/>
      <c r="T142" s="1"/>
      <c r="U142" s="1"/>
      <c r="V142" s="1"/>
      <c r="W142" s="1"/>
    </row>
    <row r="143" spans="1:23" ht="16" thickBot="1" x14ac:dyDescent="0.4">
      <c r="B143" s="38" t="s">
        <v>23</v>
      </c>
      <c r="C143" s="24">
        <f>IF($B$5=INDEX($B$6:$B$7,1,1),D36,'investissement réel'!B24)</f>
        <v>1</v>
      </c>
      <c r="D143" s="24">
        <f>IF($B$5=INDEX($B$6:$B$7,1,1),I36,'investissement réel'!C24)</f>
        <v>140000</v>
      </c>
      <c r="E143" s="325">
        <v>7</v>
      </c>
      <c r="F143" s="39">
        <f t="shared" si="5"/>
        <v>140000</v>
      </c>
      <c r="G143" s="40">
        <f t="shared" si="6"/>
        <v>20000</v>
      </c>
      <c r="H143" s="1"/>
      <c r="I143" s="1"/>
      <c r="Q143" s="1"/>
      <c r="R143" s="1"/>
      <c r="S143" s="1"/>
      <c r="T143" s="1"/>
      <c r="U143" s="1"/>
      <c r="V143" s="1"/>
      <c r="W143" s="1"/>
    </row>
    <row r="144" spans="1:23" ht="16" thickBot="1" x14ac:dyDescent="0.4">
      <c r="B144" s="38" t="s">
        <v>254</v>
      </c>
      <c r="C144" s="24">
        <f>IF($B$5=INDEX($B$6:$B$7,1,1),D37,'investissement réel'!B16)</f>
        <v>1</v>
      </c>
      <c r="D144" s="24">
        <f>IF($B$5=INDEX($B$6:$B$7,1,1),I37,'investissement réel'!C16)</f>
        <v>1000000</v>
      </c>
      <c r="E144" s="325">
        <v>30</v>
      </c>
      <c r="F144" s="39">
        <f t="shared" si="5"/>
        <v>1000000</v>
      </c>
      <c r="G144" s="40">
        <f t="shared" si="6"/>
        <v>33333.333333333336</v>
      </c>
      <c r="H144" s="1"/>
      <c r="I144" s="1"/>
      <c r="Q144" s="1"/>
      <c r="R144" s="1"/>
      <c r="S144" s="1"/>
      <c r="T144" s="1"/>
      <c r="U144" s="1"/>
      <c r="V144" s="1"/>
      <c r="W144" s="1"/>
    </row>
    <row r="145" spans="2:23" ht="16" thickBot="1" x14ac:dyDescent="0.4">
      <c r="B145" s="38" t="s">
        <v>332</v>
      </c>
      <c r="C145" s="24">
        <f>IF($B$5=INDEX($B$6:$B$7,1,1),D43,'investissement réel'!B17)</f>
        <v>1</v>
      </c>
      <c r="D145" s="24">
        <f>IF($B$5=INDEX($B$6:$B$7,1,1),I43,'investissement réel'!C17)</f>
        <v>161755</v>
      </c>
      <c r="E145" s="325">
        <v>30</v>
      </c>
      <c r="F145" s="39">
        <f t="shared" si="5"/>
        <v>161755</v>
      </c>
      <c r="G145" s="40">
        <f t="shared" si="6"/>
        <v>5391.833333333333</v>
      </c>
      <c r="H145" s="1"/>
      <c r="I145" s="1"/>
      <c r="Q145" s="1"/>
      <c r="R145" s="1"/>
      <c r="S145" s="1"/>
      <c r="T145" s="1"/>
      <c r="U145" s="1"/>
      <c r="V145" s="1"/>
      <c r="W145" s="1"/>
    </row>
    <row r="146" spans="2:23" ht="16" thickBot="1" x14ac:dyDescent="0.4">
      <c r="B146" s="38" t="s">
        <v>320</v>
      </c>
      <c r="C146" s="24">
        <f>IF($B$5=INDEX($B$6:$B$7,1,1),D43,'investissement réel'!B18)</f>
        <v>1</v>
      </c>
      <c r="D146" s="24">
        <f>IF($B$5=INDEX($B$6:$B$7,1,1),I44,'investissement réel'!C18)</f>
        <v>218688</v>
      </c>
      <c r="E146" s="325">
        <v>30</v>
      </c>
      <c r="F146" s="39">
        <f t="shared" si="5"/>
        <v>218688</v>
      </c>
      <c r="G146" s="40">
        <f t="shared" si="6"/>
        <v>7289.6</v>
      </c>
      <c r="H146" s="1"/>
      <c r="I146" s="1"/>
      <c r="Q146" s="1"/>
      <c r="R146" s="1"/>
      <c r="S146" s="1"/>
      <c r="T146" s="1"/>
      <c r="U146" s="1"/>
      <c r="V146" s="1"/>
      <c r="W146" s="1"/>
    </row>
    <row r="147" spans="2:23" ht="16" thickBot="1" x14ac:dyDescent="0.4">
      <c r="B147" s="38" t="s">
        <v>202</v>
      </c>
      <c r="C147" s="25">
        <f>IF($B$5=INDEX($B$6:$B$7,1,1),D38,'investissement réel'!B19)</f>
        <v>1</v>
      </c>
      <c r="D147" s="25">
        <f>IF($B$5=INDEX($B$6:$B$7,1,1),I38,'investissement réel'!C19)</f>
        <v>10000000</v>
      </c>
      <c r="E147" s="329"/>
      <c r="F147" s="55">
        <f>C147*D147</f>
        <v>10000000</v>
      </c>
      <c r="G147" s="330">
        <f t="shared" si="6"/>
        <v>0</v>
      </c>
      <c r="H147" s="1"/>
      <c r="I147" s="1"/>
      <c r="Q147" s="1"/>
      <c r="R147" s="1"/>
      <c r="S147" s="1"/>
      <c r="T147" s="1"/>
      <c r="U147" s="1"/>
      <c r="V147" s="1"/>
      <c r="W147" s="1"/>
    </row>
    <row r="148" spans="2:23" ht="16" thickBot="1" x14ac:dyDescent="0.4">
      <c r="B148" s="38" t="s">
        <v>230</v>
      </c>
      <c r="C148" s="25">
        <f>IF($B$5=INDEX($B$6:$B$7,1,1),D39,'investissement réel'!B20)</f>
        <v>1</v>
      </c>
      <c r="D148" s="25">
        <f>IF($B$5=INDEX($B$6:$B$7,1,1),I39,'investissement réel'!C20)</f>
        <v>1000000</v>
      </c>
      <c r="E148" s="329">
        <v>15</v>
      </c>
      <c r="F148" s="55">
        <f t="shared" si="5"/>
        <v>1000000</v>
      </c>
      <c r="G148" s="330">
        <f t="shared" si="6"/>
        <v>66666.666666666672</v>
      </c>
      <c r="H148" s="1"/>
      <c r="I148" s="1"/>
      <c r="Q148" s="1"/>
      <c r="R148" s="1"/>
      <c r="S148" s="1"/>
      <c r="T148" s="1"/>
      <c r="U148" s="1"/>
      <c r="V148" s="1"/>
      <c r="W148" s="1"/>
    </row>
    <row r="149" spans="2:23" ht="16" thickBot="1" x14ac:dyDescent="0.4">
      <c r="B149" s="38" t="s">
        <v>97</v>
      </c>
      <c r="C149" s="24">
        <f>IF($B$5=INDEX($B$6:$B$7,1,1),D40,'investissement réel'!B21)</f>
        <v>1</v>
      </c>
      <c r="D149" s="24">
        <f>IF($B$5=INDEX($B$6:$B$7,1,1),I40,'investissement réel'!C21)</f>
        <v>1000000</v>
      </c>
      <c r="E149" s="325"/>
      <c r="F149" s="39">
        <f>C149*D149</f>
        <v>1000000</v>
      </c>
      <c r="G149" s="40">
        <f t="shared" si="6"/>
        <v>0</v>
      </c>
      <c r="H149" s="1"/>
      <c r="I149" s="1"/>
      <c r="Q149" s="1"/>
      <c r="R149" s="1"/>
      <c r="S149" s="1"/>
      <c r="T149" s="1"/>
      <c r="U149" s="1"/>
      <c r="V149" s="1"/>
      <c r="W149" s="1"/>
    </row>
    <row r="150" spans="2:23" ht="16" thickBot="1" x14ac:dyDescent="0.4">
      <c r="B150" s="42" t="s">
        <v>15</v>
      </c>
      <c r="C150" s="43"/>
      <c r="D150" s="43"/>
      <c r="E150" s="43"/>
      <c r="F150" s="327">
        <f>SUM(F129:F149)-11000000</f>
        <v>17486306</v>
      </c>
      <c r="G150" s="328">
        <f>SUM(G129:G149)</f>
        <v>1315352.3904761905</v>
      </c>
      <c r="H150" s="165"/>
      <c r="I150" s="1"/>
      <c r="Q150" s="1"/>
      <c r="R150" s="1"/>
      <c r="S150" s="1"/>
      <c r="T150" s="1"/>
      <c r="U150" s="1"/>
      <c r="V150" s="1"/>
      <c r="W150" s="1"/>
    </row>
    <row r="151" spans="2:23" s="1" customFormat="1" x14ac:dyDescent="0.35"/>
    <row r="152" spans="2:23" s="1" customFormat="1" ht="21" x14ac:dyDescent="0.5">
      <c r="B152" s="7" t="s">
        <v>24</v>
      </c>
      <c r="C152" s="14"/>
      <c r="D152" s="14"/>
      <c r="E152" s="14"/>
      <c r="F152" s="15"/>
      <c r="G152" s="14"/>
      <c r="H152" s="14"/>
      <c r="I152" s="14"/>
      <c r="J152" s="14"/>
      <c r="K152" s="14"/>
      <c r="L152" s="14"/>
      <c r="M152" s="14"/>
      <c r="N152" s="14"/>
      <c r="O152" s="14"/>
    </row>
    <row r="153" spans="2:23" s="1" customFormat="1" x14ac:dyDescent="0.35"/>
    <row r="154" spans="2:23" s="1" customFormat="1" ht="16" thickBot="1" x14ac:dyDescent="0.4">
      <c r="B154" s="32" t="s">
        <v>25</v>
      </c>
    </row>
    <row r="155" spans="2:23" s="1" customFormat="1" ht="16" thickBot="1" x14ac:dyDescent="0.4">
      <c r="B155" s="362" t="s">
        <v>10</v>
      </c>
      <c r="C155" s="364" t="s">
        <v>108</v>
      </c>
      <c r="D155" s="365"/>
      <c r="E155" s="366"/>
      <c r="F155" s="367" t="s">
        <v>109</v>
      </c>
      <c r="G155" s="365"/>
      <c r="H155" s="366"/>
      <c r="I155" s="172" t="s">
        <v>204</v>
      </c>
      <c r="J155" s="46" t="s">
        <v>26</v>
      </c>
      <c r="L155" s="1" t="s">
        <v>27</v>
      </c>
      <c r="O155" s="22">
        <v>0.03</v>
      </c>
    </row>
    <row r="156" spans="2:23" s="1" customFormat="1" ht="16" thickBot="1" x14ac:dyDescent="0.4">
      <c r="B156" s="363"/>
      <c r="C156" s="191" t="s">
        <v>11</v>
      </c>
      <c r="D156" s="192" t="s">
        <v>193</v>
      </c>
      <c r="E156" s="172" t="s">
        <v>12</v>
      </c>
      <c r="F156" s="191" t="s">
        <v>11</v>
      </c>
      <c r="G156" s="192" t="s">
        <v>193</v>
      </c>
      <c r="H156" s="172" t="s">
        <v>12</v>
      </c>
      <c r="I156" s="172"/>
      <c r="J156" s="189"/>
      <c r="O156" s="190"/>
    </row>
    <row r="157" spans="2:23" s="1" customFormat="1" ht="16" thickBot="1" x14ac:dyDescent="0.4">
      <c r="B157" s="205" t="s">
        <v>226</v>
      </c>
      <c r="C157" s="47">
        <f>E21*O21*P21</f>
        <v>800000</v>
      </c>
      <c r="D157" s="193" t="s">
        <v>208</v>
      </c>
      <c r="E157" s="48">
        <v>10</v>
      </c>
      <c r="F157" s="47"/>
      <c r="G157" s="193"/>
      <c r="H157" s="48"/>
      <c r="I157" s="49">
        <v>1</v>
      </c>
      <c r="J157" s="49">
        <f>IF(I157=1,C157*E157,IF(I157=2,F157*H157,0))</f>
        <v>8000000</v>
      </c>
    </row>
    <row r="158" spans="2:23" s="1" customFormat="1" ht="16" thickBot="1" x14ac:dyDescent="0.4">
      <c r="B158" s="194" t="s">
        <v>227</v>
      </c>
      <c r="C158" s="47">
        <v>0</v>
      </c>
      <c r="D158" s="193" t="s">
        <v>208</v>
      </c>
      <c r="E158" s="48">
        <v>230</v>
      </c>
      <c r="F158" s="47"/>
      <c r="G158" s="193"/>
      <c r="H158" s="48"/>
      <c r="I158" s="49">
        <v>1</v>
      </c>
      <c r="J158" s="49">
        <f>IF(I158=1,C158*E158,IF(I158=2,F158*H158,0))</f>
        <v>0</v>
      </c>
    </row>
    <row r="159" spans="2:23" s="1" customFormat="1" ht="16" thickBot="1" x14ac:dyDescent="0.4">
      <c r="B159" s="194" t="s">
        <v>228</v>
      </c>
      <c r="C159" s="47">
        <v>0</v>
      </c>
      <c r="D159" s="193" t="s">
        <v>208</v>
      </c>
      <c r="E159" s="48">
        <v>300</v>
      </c>
      <c r="F159" s="47"/>
      <c r="G159" s="193"/>
      <c r="H159" s="48"/>
      <c r="I159" s="49">
        <v>1</v>
      </c>
      <c r="J159" s="49">
        <f>IF(I159=1,C159*E159,IF(I159=2,F159*H159,0))</f>
        <v>0</v>
      </c>
    </row>
    <row r="160" spans="2:23" s="1" customFormat="1" ht="16" thickBot="1" x14ac:dyDescent="0.4">
      <c r="B160" s="194" t="s">
        <v>229</v>
      </c>
      <c r="C160" s="47">
        <v>0</v>
      </c>
      <c r="D160" s="193" t="s">
        <v>208</v>
      </c>
      <c r="E160" s="48">
        <v>500</v>
      </c>
      <c r="F160" s="47"/>
      <c r="G160" s="193"/>
      <c r="H160" s="48"/>
      <c r="I160" s="49">
        <v>1</v>
      </c>
      <c r="J160" s="49">
        <f t="shared" ref="J160:J162" si="7">IF(I160=1,C160*E160,IF(I160=2,F160*H160,0))</f>
        <v>0</v>
      </c>
    </row>
    <row r="161" spans="2:23" s="1" customFormat="1" ht="16" thickBot="1" x14ac:dyDescent="0.4">
      <c r="B161" s="50" t="s">
        <v>256</v>
      </c>
      <c r="C161" s="47">
        <f>E19*O19*P19</f>
        <v>135000</v>
      </c>
      <c r="D161" s="47" t="s">
        <v>208</v>
      </c>
      <c r="E161" s="48">
        <v>15</v>
      </c>
      <c r="F161" s="47"/>
      <c r="G161" s="47"/>
      <c r="H161" s="48"/>
      <c r="I161" s="49">
        <v>1</v>
      </c>
      <c r="J161" s="49">
        <f>IF(I161=1,C161*E161,IF(I161=2,F161*H161,0))</f>
        <v>2025000</v>
      </c>
    </row>
    <row r="162" spans="2:23" s="1" customFormat="1" ht="16" thickBot="1" x14ac:dyDescent="0.4">
      <c r="B162" s="50" t="s">
        <v>257</v>
      </c>
      <c r="C162" s="47">
        <f>E17*O17*P17</f>
        <v>300000</v>
      </c>
      <c r="D162" s="47" t="s">
        <v>208</v>
      </c>
      <c r="E162" s="48">
        <v>15</v>
      </c>
      <c r="F162" s="47"/>
      <c r="G162" s="47"/>
      <c r="H162" s="48"/>
      <c r="I162" s="49">
        <v>1</v>
      </c>
      <c r="J162" s="49">
        <f t="shared" si="7"/>
        <v>4500000</v>
      </c>
    </row>
    <row r="163" spans="2:23" s="1" customFormat="1" ht="16" thickBot="1" x14ac:dyDescent="0.4">
      <c r="B163" s="51" t="s">
        <v>28</v>
      </c>
      <c r="C163" s="52"/>
      <c r="D163" s="52"/>
      <c r="E163" s="52"/>
      <c r="F163" s="52"/>
      <c r="G163" s="52"/>
      <c r="H163" s="52"/>
      <c r="I163" s="44"/>
      <c r="J163" s="44">
        <f>SUM(J157:J162)</f>
        <v>14525000</v>
      </c>
    </row>
    <row r="164" spans="2:23" s="1" customFormat="1" x14ac:dyDescent="0.35">
      <c r="B164" s="53"/>
      <c r="I164"/>
    </row>
    <row r="165" spans="2:23" s="1" customFormat="1" ht="21" x14ac:dyDescent="0.5">
      <c r="B165" s="7" t="s">
        <v>29</v>
      </c>
      <c r="C165" s="14"/>
      <c r="D165" s="14"/>
      <c r="E165" s="14"/>
      <c r="F165" s="15"/>
      <c r="G165" s="14"/>
      <c r="H165" s="14"/>
      <c r="I165" s="14"/>
      <c r="J165" s="14"/>
      <c r="K165" s="14"/>
      <c r="L165" s="14"/>
      <c r="M165" s="14"/>
      <c r="N165" s="14"/>
      <c r="O165" s="14"/>
    </row>
    <row r="166" spans="2:23" s="1" customFormat="1" x14ac:dyDescent="0.35"/>
    <row r="167" spans="2:23" s="1" customFormat="1" ht="16" thickBot="1" x14ac:dyDescent="0.4">
      <c r="B167" s="54" t="s">
        <v>30</v>
      </c>
      <c r="C167" s="32"/>
    </row>
    <row r="168" spans="2:23" s="1" customFormat="1" ht="40" customHeight="1" thickBot="1" x14ac:dyDescent="0.4">
      <c r="B168" s="34" t="s">
        <v>31</v>
      </c>
      <c r="C168" s="35" t="s">
        <v>32</v>
      </c>
      <c r="D168" s="36" t="s">
        <v>33</v>
      </c>
      <c r="E168" s="36" t="s">
        <v>34</v>
      </c>
    </row>
    <row r="169" spans="2:23" s="1" customFormat="1" ht="16" thickBot="1" x14ac:dyDescent="0.4">
      <c r="B169" s="182" t="s">
        <v>212</v>
      </c>
      <c r="C169" s="114" t="s">
        <v>35</v>
      </c>
      <c r="D169" s="109">
        <v>0</v>
      </c>
      <c r="E169" s="113">
        <v>1</v>
      </c>
    </row>
    <row r="170" spans="2:23" s="1" customFormat="1" ht="16" thickBot="1" x14ac:dyDescent="0.4">
      <c r="B170" s="182" t="s">
        <v>209</v>
      </c>
      <c r="C170" s="114" t="s">
        <v>36</v>
      </c>
      <c r="D170" s="109">
        <v>0</v>
      </c>
      <c r="E170" s="113">
        <v>0.5</v>
      </c>
    </row>
    <row r="171" spans="2:23" s="1" customFormat="1" ht="16" thickBot="1" x14ac:dyDescent="0.4">
      <c r="B171" s="182" t="s">
        <v>210</v>
      </c>
      <c r="C171" s="56"/>
      <c r="D171" s="109">
        <v>30</v>
      </c>
      <c r="E171" s="57">
        <v>0</v>
      </c>
    </row>
    <row r="172" spans="2:23" s="1" customFormat="1" ht="16" thickBot="1" x14ac:dyDescent="0.4">
      <c r="B172" s="182" t="s">
        <v>211</v>
      </c>
      <c r="C172" s="56"/>
      <c r="D172" s="109">
        <v>30</v>
      </c>
      <c r="E172" s="57">
        <v>0</v>
      </c>
    </row>
    <row r="173" spans="2:23" s="1" customFormat="1" ht="16" thickBot="1" x14ac:dyDescent="0.4">
      <c r="B173"/>
      <c r="C173"/>
    </row>
    <row r="174" spans="2:23" ht="16" thickBot="1" x14ac:dyDescent="0.4">
      <c r="B174" s="58" t="s">
        <v>37</v>
      </c>
      <c r="C174" s="59">
        <v>0</v>
      </c>
      <c r="D174" s="1"/>
      <c r="E174" s="1"/>
      <c r="F174" s="1"/>
      <c r="G174" s="1"/>
      <c r="H174" s="1"/>
      <c r="I174" s="1"/>
      <c r="Q174" s="1"/>
      <c r="R174" s="1"/>
      <c r="S174" s="1"/>
      <c r="T174" s="1"/>
      <c r="U174" s="1"/>
      <c r="V174" s="1"/>
      <c r="W174" s="1"/>
    </row>
    <row r="175" spans="2:23" ht="16" thickBot="1" x14ac:dyDescent="0.4">
      <c r="B175" s="58" t="s">
        <v>38</v>
      </c>
      <c r="C175" s="59">
        <f>(D170*J163*E170/365)*-1</f>
        <v>0</v>
      </c>
      <c r="D175" s="1"/>
      <c r="E175" s="1"/>
      <c r="F175" s="1"/>
      <c r="G175" s="1"/>
      <c r="H175" s="1"/>
      <c r="I175" s="1"/>
      <c r="Q175" s="1"/>
      <c r="R175" s="1"/>
      <c r="S175" s="1"/>
      <c r="T175" s="1"/>
      <c r="U175" s="1"/>
      <c r="V175" s="1"/>
      <c r="W175" s="1"/>
    </row>
    <row r="176" spans="2:23" ht="16" thickBot="1" x14ac:dyDescent="0.4">
      <c r="B176" s="58" t="s">
        <v>39</v>
      </c>
      <c r="C176" s="59">
        <f>F119*D171/365</f>
        <v>0</v>
      </c>
      <c r="D176" s="1"/>
      <c r="E176" s="1"/>
      <c r="F176" s="1"/>
      <c r="G176" s="1"/>
      <c r="H176" s="1"/>
      <c r="I176" s="1"/>
      <c r="Q176" s="1"/>
      <c r="R176" s="1"/>
      <c r="S176" s="1"/>
      <c r="T176" s="1"/>
      <c r="U176" s="1"/>
      <c r="V176" s="1"/>
      <c r="W176" s="1"/>
    </row>
    <row r="177" spans="2:35" ht="16" thickBot="1" x14ac:dyDescent="0.4">
      <c r="B177" s="58" t="s">
        <v>40</v>
      </c>
      <c r="C177" s="59">
        <f>(J158*D172/365)</f>
        <v>0</v>
      </c>
      <c r="D177" s="1"/>
      <c r="E177" s="1"/>
      <c r="F177" s="1"/>
      <c r="G177" s="1"/>
      <c r="H177" s="1"/>
      <c r="I177" s="1"/>
      <c r="Q177" s="1"/>
      <c r="R177" s="1"/>
      <c r="S177" s="1"/>
      <c r="T177" s="1"/>
      <c r="U177" s="1"/>
      <c r="V177" s="1"/>
      <c r="W177" s="1"/>
    </row>
    <row r="178" spans="2:35" ht="17.5" thickBot="1" x14ac:dyDescent="0.45">
      <c r="B178" s="60" t="s">
        <v>107</v>
      </c>
      <c r="C178" s="61">
        <f>SUM(C174:C177)</f>
        <v>0</v>
      </c>
      <c r="D178" s="1" t="s">
        <v>41</v>
      </c>
      <c r="E178" s="1"/>
      <c r="F178" s="1"/>
      <c r="G178" s="1"/>
      <c r="H178" s="1"/>
      <c r="I178" s="1"/>
      <c r="Q178" s="1"/>
      <c r="R178" s="1"/>
      <c r="S178" s="1"/>
      <c r="T178" s="1"/>
      <c r="U178" s="1"/>
      <c r="V178" s="1"/>
      <c r="W178" s="1"/>
    </row>
    <row r="179" spans="2:35" x14ac:dyDescent="0.35">
      <c r="B179" s="1"/>
      <c r="C179" s="1"/>
      <c r="D179" s="1"/>
      <c r="E179" s="1"/>
      <c r="F179" s="1"/>
      <c r="G179" s="1"/>
      <c r="H179" s="1"/>
      <c r="I179" s="1"/>
      <c r="Q179" s="1"/>
      <c r="R179" s="1"/>
      <c r="S179" s="1"/>
      <c r="T179" s="1"/>
      <c r="U179" s="1"/>
      <c r="V179" s="1"/>
      <c r="W179" s="1"/>
    </row>
    <row r="180" spans="2:35" x14ac:dyDescent="0.35">
      <c r="B180" s="1"/>
      <c r="C180" s="1"/>
      <c r="D180" s="1"/>
      <c r="E180" s="1"/>
      <c r="F180" s="1"/>
      <c r="G180" s="1"/>
      <c r="H180" s="1"/>
      <c r="I180" s="1"/>
      <c r="Q180" s="1"/>
      <c r="R180" s="1"/>
      <c r="S180" s="1"/>
      <c r="T180" s="1"/>
      <c r="U180" s="1"/>
      <c r="V180" s="1"/>
      <c r="W180" s="1"/>
      <c r="AB180"/>
      <c r="AC180"/>
      <c r="AD180"/>
      <c r="AE180"/>
      <c r="AF180"/>
      <c r="AG180"/>
      <c r="AH180"/>
      <c r="AI180"/>
    </row>
    <row r="181" spans="2:35" ht="16" thickBot="1" x14ac:dyDescent="0.4">
      <c r="B181" s="32" t="s">
        <v>42</v>
      </c>
      <c r="C181" s="1"/>
      <c r="D181" s="1"/>
      <c r="E181" s="1"/>
      <c r="F181" s="32" t="s">
        <v>43</v>
      </c>
      <c r="G181" s="1"/>
      <c r="H181" s="1"/>
      <c r="I181" s="1"/>
      <c r="Q181" s="1"/>
      <c r="R181" s="1"/>
      <c r="S181" s="1"/>
      <c r="T181" s="1"/>
      <c r="U181" s="1"/>
      <c r="V181" s="1"/>
      <c r="W181" s="1"/>
      <c r="AB181"/>
      <c r="AC181"/>
      <c r="AD181"/>
      <c r="AE181"/>
      <c r="AF181"/>
      <c r="AG181"/>
      <c r="AH181"/>
      <c r="AI181"/>
    </row>
    <row r="182" spans="2:35" ht="37" customHeight="1" thickBot="1" x14ac:dyDescent="0.4">
      <c r="B182" s="62" t="s">
        <v>17</v>
      </c>
      <c r="C182" s="35" t="s">
        <v>44</v>
      </c>
      <c r="D182" s="46" t="s">
        <v>45</v>
      </c>
      <c r="E182" s="1"/>
      <c r="F182" s="63" t="s">
        <v>46</v>
      </c>
      <c r="G182" s="36" t="s">
        <v>47</v>
      </c>
      <c r="H182" s="36" t="s">
        <v>48</v>
      </c>
      <c r="I182" s="36" t="s">
        <v>49</v>
      </c>
      <c r="J182" s="36" t="s">
        <v>50</v>
      </c>
      <c r="Q182" s="1"/>
      <c r="R182" s="1"/>
      <c r="S182" s="1"/>
      <c r="T182" s="1"/>
      <c r="U182" s="1"/>
      <c r="V182" s="1"/>
      <c r="W182" s="1"/>
      <c r="AA182"/>
      <c r="AB182"/>
      <c r="AC182"/>
      <c r="AD182"/>
      <c r="AE182"/>
      <c r="AF182"/>
      <c r="AG182"/>
      <c r="AH182"/>
      <c r="AI182"/>
    </row>
    <row r="183" spans="2:35" ht="16" thickBot="1" x14ac:dyDescent="0.4">
      <c r="B183" s="64" t="s">
        <v>51</v>
      </c>
      <c r="C183" s="65"/>
      <c r="D183" s="49">
        <f>F150</f>
        <v>17486306</v>
      </c>
      <c r="E183" s="1"/>
      <c r="F183" s="66">
        <f>IF(D190&gt;10,"nb an insuffisant",IF(D190&gt;=1,1,"-"))</f>
        <v>1</v>
      </c>
      <c r="G183" s="49">
        <f>SUMIFS('Remboursement Mensualités'!C$14:C$133,'Remboursement Mensualités'!$F$14:$F$133,'Table rentabilité optimisé'!$F183)</f>
        <v>1213242.1419992303</v>
      </c>
      <c r="H183" s="49">
        <f>SUMIFS('Remboursement Mensualités'!D$14:D$133,'Remboursement Mensualités'!$F$14:$F$133,'Table rentabilité optimisé'!$F183)</f>
        <v>1331739.27382279</v>
      </c>
      <c r="I183" s="49">
        <f>SUMIFS('Remboursement Mensualités'!E$14:E$133,'Remboursement Mensualités'!$F$14:$F$133,'Table rentabilité optimisé'!$F183)</f>
        <v>139135407.36526382</v>
      </c>
      <c r="J183" s="49">
        <f>SUMIFS('Remboursement Mensualités'!B$14:B$133,'Remboursement Mensualités'!$F$14:$F$133,'Table rentabilité optimisé'!$F183)</f>
        <v>2544981.4158220198</v>
      </c>
      <c r="K183" s="165"/>
      <c r="Q183" s="1"/>
      <c r="R183" s="1"/>
      <c r="S183" s="1"/>
      <c r="T183" s="1"/>
      <c r="U183" s="1"/>
      <c r="V183" s="1"/>
      <c r="W183" s="1"/>
      <c r="AA183"/>
      <c r="AB183"/>
      <c r="AC183"/>
      <c r="AD183"/>
      <c r="AE183"/>
      <c r="AF183"/>
      <c r="AG183"/>
      <c r="AH183"/>
      <c r="AI183"/>
    </row>
    <row r="184" spans="2:35" ht="16" thickBot="1" x14ac:dyDescent="0.4">
      <c r="B184" s="50" t="s">
        <v>52</v>
      </c>
      <c r="C184" s="67"/>
      <c r="D184" s="68">
        <f>C178</f>
        <v>0</v>
      </c>
      <c r="E184" s="1"/>
      <c r="F184" s="66">
        <f>IF(D190&gt;10,"nb an insuffisant",IF(D190&gt;=2,2,"-"))</f>
        <v>2</v>
      </c>
      <c r="G184" s="49">
        <f>SUMIFS('Remboursement Mensualités'!C$14:C$133,'Remboursement Mensualités'!$F$14:$F$133,'Table rentabilité optimisé'!$F184)</f>
        <v>1358831.1990391391</v>
      </c>
      <c r="H184" s="49">
        <f>SUMIFS('Remboursement Mensualités'!D$14:D$133,'Remboursement Mensualités'!$F$14:$F$133,'Table rentabilité optimisé'!$F184)</f>
        <v>1186150.2167828809</v>
      </c>
      <c r="I184" s="49">
        <f>SUMIFS('Remboursement Mensualités'!E$14:E$133,'Remboursement Mensualités'!$F$14:$F$133,'Table rentabilité optimisé'!$F184)</f>
        <v>123646554.09710471</v>
      </c>
      <c r="J184" s="49">
        <f>SUMIFS('Remboursement Mensualités'!B$14:B$133,'Remboursement Mensualités'!$F$14:$F$133,'Table rentabilité optimisé'!$F184)</f>
        <v>2544981.4158220198</v>
      </c>
      <c r="Q184" s="1"/>
      <c r="R184" s="1"/>
      <c r="S184" s="1"/>
      <c r="T184" s="1"/>
      <c r="U184" s="1"/>
      <c r="V184" s="1"/>
      <c r="W184" s="1"/>
      <c r="AA184"/>
      <c r="AB184"/>
      <c r="AC184"/>
      <c r="AD184"/>
      <c r="AE184"/>
      <c r="AF184"/>
      <c r="AG184"/>
      <c r="AH184"/>
      <c r="AI184"/>
    </row>
    <row r="185" spans="2:35" ht="16" thickBot="1" x14ac:dyDescent="0.4">
      <c r="B185" s="51" t="s">
        <v>53</v>
      </c>
      <c r="C185" s="69"/>
      <c r="D185" s="70">
        <f>SUM(D183:D184)</f>
        <v>17486306</v>
      </c>
      <c r="E185" s="1"/>
      <c r="F185" s="66">
        <f>IF(D190&gt;10,"nb an insuffisant",IF(D190&gt;=3,3,"-"))</f>
        <v>3</v>
      </c>
      <c r="G185" s="49">
        <f>SUMIFS('Remboursement Mensualités'!C$14:C$133,'Remboursement Mensualités'!$F$14:$F$133,'Table rentabilité optimisé'!$F185)</f>
        <v>1521890.9429238371</v>
      </c>
      <c r="H185" s="49">
        <f>SUMIFS('Remboursement Mensualités'!D$14:D$133,'Remboursement Mensualités'!$F$14:$F$133,'Table rentabilité optimisé'!$F185)</f>
        <v>1023090.4728981829</v>
      </c>
      <c r="I185" s="49">
        <f>SUMIFS('Remboursement Mensualités'!E$14:E$133,'Remboursement Mensualités'!$F$14:$F$133,'Table rentabilité optimisé'!$F185)</f>
        <v>106299038.43676649</v>
      </c>
      <c r="J185" s="49">
        <f>SUMIFS('Remboursement Mensualités'!B$14:B$133,'Remboursement Mensualités'!$F$14:$F$133,'Table rentabilité optimisé'!$F185)</f>
        <v>2544981.4158220198</v>
      </c>
      <c r="Q185" s="1"/>
      <c r="R185" s="1"/>
      <c r="S185" s="1"/>
      <c r="T185" s="1"/>
      <c r="U185" s="1"/>
      <c r="V185" s="1"/>
      <c r="W185" s="1"/>
      <c r="AA185"/>
      <c r="AB185"/>
      <c r="AC185"/>
      <c r="AD185"/>
      <c r="AE185"/>
      <c r="AF185"/>
      <c r="AG185"/>
      <c r="AH185"/>
      <c r="AI185"/>
    </row>
    <row r="186" spans="2:35" ht="16" thickBot="1" x14ac:dyDescent="0.4">
      <c r="B186" s="71" t="s">
        <v>54</v>
      </c>
      <c r="C186" s="117">
        <f>'[1]#_Capitalisation'!$D$24</f>
        <v>0.1</v>
      </c>
      <c r="D186" s="72">
        <f>C186*D185</f>
        <v>1748630.6</v>
      </c>
      <c r="E186" s="1"/>
      <c r="F186" s="66">
        <f>IF(D190&gt;10,"nb an insuffisant",IF(D190&gt;=4,4,"-"))</f>
        <v>4</v>
      </c>
      <c r="G186" s="49">
        <f>SUMIFS('Remboursement Mensualités'!C$14:C$133,'Remboursement Mensualités'!$F$14:$F$133,'Table rentabilité optimisé'!$F186)</f>
        <v>1704517.856074699</v>
      </c>
      <c r="H186" s="49">
        <f>SUMIFS('Remboursement Mensualités'!D$14:D$133,'Remboursement Mensualités'!$F$14:$F$133,'Table rentabilité optimisé'!$F186)</f>
        <v>840463.55974732095</v>
      </c>
      <c r="I186" s="49">
        <f>SUMIFS('Remboursement Mensualités'!E$14:E$133,'Remboursement Mensualités'!$F$14:$F$133,'Table rentabilité optimisé'!$F186)</f>
        <v>86869820.89718768</v>
      </c>
      <c r="J186" s="49">
        <f>SUMIFS('Remboursement Mensualités'!B$14:B$133,'Remboursement Mensualités'!$F$14:$F$133,'Table rentabilité optimisé'!$F186)</f>
        <v>2544981.4158220198</v>
      </c>
      <c r="Q186" s="1"/>
      <c r="R186" s="1"/>
      <c r="S186" s="1"/>
      <c r="T186" s="1"/>
      <c r="U186" s="1"/>
      <c r="V186" s="1"/>
      <c r="W186" s="1"/>
      <c r="AA186"/>
      <c r="AB186"/>
      <c r="AC186"/>
      <c r="AD186"/>
      <c r="AE186"/>
      <c r="AF186"/>
      <c r="AG186"/>
      <c r="AH186"/>
      <c r="AI186"/>
    </row>
    <row r="187" spans="2:35" ht="16" thickBot="1" x14ac:dyDescent="0.4">
      <c r="B187" s="73" t="s">
        <v>55</v>
      </c>
      <c r="C187" s="113">
        <f>'[1]#_Capitalisation'!$D$26</f>
        <v>0.20000000000000007</v>
      </c>
      <c r="D187" s="39">
        <f>C187*D185</f>
        <v>3497261.2000000011</v>
      </c>
      <c r="E187" s="1"/>
      <c r="F187" s="66">
        <f>IF(D190&gt;10,"nb an insuffisant",IF(D190&gt;=5,5,"-"))</f>
        <v>5</v>
      </c>
      <c r="G187" s="49">
        <f>SUMIFS('Remboursement Mensualités'!C$14:C$133,'Remboursement Mensualités'!$F$14:$F$133,'Table rentabilité optimisé'!$F187)</f>
        <v>1909059.9988036645</v>
      </c>
      <c r="H187" s="49">
        <f>SUMIFS('Remboursement Mensualités'!D$14:D$133,'Remboursement Mensualités'!$F$14:$F$133,'Table rentabilité optimisé'!$F187)</f>
        <v>635921.41701835545</v>
      </c>
      <c r="I187" s="49">
        <f>SUMIFS('Remboursement Mensualités'!E$14:E$133,'Remboursement Mensualités'!$F$14:$F$133,'Table rentabilité optimisé'!$F187)</f>
        <v>65109097.252859376</v>
      </c>
      <c r="J187" s="49">
        <f>SUMIFS('Remboursement Mensualités'!B$14:B$133,'Remboursement Mensualités'!$F$14:$F$133,'Table rentabilité optimisé'!$F187)</f>
        <v>2544981.4158220198</v>
      </c>
      <c r="Q187" s="1"/>
      <c r="R187" s="1"/>
      <c r="S187" s="1"/>
      <c r="T187" s="1"/>
      <c r="U187" s="1"/>
      <c r="V187" s="1"/>
      <c r="W187" s="1"/>
      <c r="AA187"/>
      <c r="AB187"/>
      <c r="AC187"/>
      <c r="AD187"/>
      <c r="AE187"/>
      <c r="AF187"/>
      <c r="AG187"/>
      <c r="AH187"/>
      <c r="AI187"/>
    </row>
    <row r="188" spans="2:35" ht="16" thickBot="1" x14ac:dyDescent="0.4">
      <c r="B188" s="73" t="s">
        <v>56</v>
      </c>
      <c r="C188" s="331">
        <f>'[1]#_Capitalisation'!$D$25</f>
        <v>0.7</v>
      </c>
      <c r="D188" s="44">
        <f>D185*C188</f>
        <v>12240414.199999999</v>
      </c>
      <c r="E188" s="1"/>
      <c r="F188" s="66">
        <f>IF(D190&gt;10,"nb an insuffisant",IF(D190&gt;=6,6,"-"))</f>
        <v>6</v>
      </c>
      <c r="G188" s="49">
        <f>SUMIFS('Remboursement Mensualités'!C$14:C$133,'Remboursement Mensualités'!$F$14:$F$133,'Table rentabilité optimisé'!$F188)</f>
        <v>2138147.1986601059</v>
      </c>
      <c r="H188" s="49">
        <f>SUMIFS('Remboursement Mensualités'!D$14:D$133,'Remboursement Mensualités'!$F$14:$F$133,'Table rentabilité optimisé'!$F188)</f>
        <v>406834.21716191393</v>
      </c>
      <c r="I188" s="49">
        <f>SUMIFS('Remboursement Mensualités'!E$14:E$133,'Remboursement Mensualités'!$F$14:$F$133,'Table rentabilité optimisé'!$F188)</f>
        <v>40737086.771211654</v>
      </c>
      <c r="J188" s="49">
        <f>SUMIFS('Remboursement Mensualités'!B$14:B$133,'Remboursement Mensualités'!$F$14:$F$133,'Table rentabilité optimisé'!$F188)</f>
        <v>2544981.4158220198</v>
      </c>
      <c r="Q188" s="1"/>
      <c r="R188" s="1"/>
      <c r="S188" s="1"/>
      <c r="T188" s="1"/>
      <c r="U188" s="1"/>
      <c r="V188" s="1"/>
      <c r="W188" s="1"/>
      <c r="AA188"/>
      <c r="AB188"/>
      <c r="AC188"/>
      <c r="AD188"/>
      <c r="AE188"/>
      <c r="AF188"/>
      <c r="AG188"/>
      <c r="AH188"/>
      <c r="AI188"/>
    </row>
    <row r="189" spans="2:35" ht="16" thickBot="1" x14ac:dyDescent="0.4">
      <c r="B189" s="73" t="s">
        <v>57</v>
      </c>
      <c r="C189" s="67"/>
      <c r="D189" s="115">
        <f>'[1]#_Capitalisation'!$C$27</f>
        <v>0.12</v>
      </c>
      <c r="E189" s="1"/>
      <c r="F189" s="66">
        <f>IF(D190&gt;10,"nb an insuffisant",IF(D190&gt;=7,7,"-"))</f>
        <v>7</v>
      </c>
      <c r="G189" s="49">
        <f>SUMIFS('Remboursement Mensualités'!C$14:C$133,'Remboursement Mensualités'!$F$14:$F$133,'Table rentabilité optimisé'!$F189)</f>
        <v>2394724.8624993209</v>
      </c>
      <c r="H189" s="49">
        <f>SUMIFS('Remboursement Mensualités'!D$14:D$133,'Remboursement Mensualités'!$F$14:$F$133,'Table rentabilité optimisé'!$F189)</f>
        <v>150256.55332269918</v>
      </c>
      <c r="I189" s="49">
        <f>SUMIFS('Remboursement Mensualités'!E$14:E$133,'Remboursement Mensualités'!$F$14:$F$133,'Table rentabilité optimisé'!$F189)</f>
        <v>13440435.031766182</v>
      </c>
      <c r="J189" s="49">
        <f>SUMIFS('Remboursement Mensualités'!B$14:B$133,'Remboursement Mensualités'!$F$14:$F$133,'Table rentabilité optimisé'!$F189)</f>
        <v>2544981.4158220198</v>
      </c>
      <c r="Q189" s="1"/>
      <c r="R189" s="1"/>
      <c r="S189" s="1"/>
      <c r="T189" s="1"/>
      <c r="U189" s="1"/>
      <c r="V189" s="1"/>
      <c r="W189" s="1"/>
      <c r="AA189"/>
      <c r="AB189"/>
      <c r="AC189"/>
      <c r="AD189"/>
      <c r="AE189"/>
      <c r="AF189"/>
      <c r="AG189"/>
      <c r="AH189"/>
      <c r="AI189"/>
    </row>
    <row r="190" spans="2:35" ht="16" thickBot="1" x14ac:dyDescent="0.4">
      <c r="B190" s="73" t="s">
        <v>58</v>
      </c>
      <c r="C190" s="69"/>
      <c r="D190" s="116">
        <f>'[1]#_Capitalisation'!$C$28</f>
        <v>7</v>
      </c>
      <c r="E190" s="1"/>
      <c r="F190" s="66" t="str">
        <f>IF(D190&gt;10,"nb an insuffisant",IF(D190&gt;=8,8,"-"))</f>
        <v>-</v>
      </c>
      <c r="G190" s="49">
        <f>SUMIFS('Remboursement Mensualités'!C$14:C$133,'Remboursement Mensualités'!$F$14:$F$133,'Table rentabilité optimisé'!$F190)</f>
        <v>0</v>
      </c>
      <c r="H190" s="49">
        <f>SUMIFS('Remboursement Mensualités'!D$14:D$133,'Remboursement Mensualités'!$F$14:$F$133,'Table rentabilité optimisé'!$F190)</f>
        <v>0</v>
      </c>
      <c r="I190" s="49">
        <f>SUMIFS('Remboursement Mensualités'!E$14:E$133,'Remboursement Mensualités'!$F$14:$F$133,'Table rentabilité optimisé'!$F190)</f>
        <v>0</v>
      </c>
      <c r="J190" s="49">
        <f>SUMIFS('Remboursement Mensualités'!B$14:B$133,'Remboursement Mensualités'!$F$14:$F$133,'Table rentabilité optimisé'!$F190)</f>
        <v>0</v>
      </c>
      <c r="Q190" s="1"/>
      <c r="R190" s="1"/>
      <c r="S190" s="1"/>
      <c r="T190" s="1"/>
      <c r="U190" s="1"/>
      <c r="V190" s="1"/>
      <c r="W190" s="1"/>
      <c r="AA190"/>
      <c r="AB190"/>
      <c r="AC190"/>
      <c r="AD190"/>
      <c r="AE190"/>
      <c r="AF190"/>
      <c r="AG190"/>
      <c r="AH190"/>
      <c r="AI190"/>
    </row>
    <row r="191" spans="2:35" s="1" customFormat="1" ht="16" thickBot="1" x14ac:dyDescent="0.4">
      <c r="F191" s="66" t="str">
        <f>IF(D190&gt;10,"nb an insuffisant",IF(D190&gt;=9,9,"-"))</f>
        <v>-</v>
      </c>
      <c r="G191" s="49">
        <f>SUMIFS('Remboursement Mensualités'!C$14:C$133,'Remboursement Mensualités'!$F$14:$F$133,'Table rentabilité optimisé'!$F191)</f>
        <v>0</v>
      </c>
      <c r="H191" s="49">
        <f>SUMIFS('Remboursement Mensualités'!D$14:D$133,'Remboursement Mensualités'!$F$14:$F$133,'Table rentabilité optimisé'!$F191)</f>
        <v>0</v>
      </c>
      <c r="I191" s="49">
        <f>SUMIFS('Remboursement Mensualités'!E$14:E$133,'Remboursement Mensualités'!$F$14:$F$133,'Table rentabilité optimisé'!$F191)</f>
        <v>0</v>
      </c>
      <c r="J191" s="49">
        <f>SUMIFS('Remboursement Mensualités'!B$14:B$133,'Remboursement Mensualités'!$F$14:$F$133,'Table rentabilité optimisé'!$F191)</f>
        <v>0</v>
      </c>
    </row>
    <row r="192" spans="2:35" s="1" customFormat="1" ht="16" thickBot="1" x14ac:dyDescent="0.4">
      <c r="F192" s="66" t="str">
        <f>IF(D190&gt;10,"nb an insuffisant",IF(D190&gt;=10,"Année 10","-"))</f>
        <v>-</v>
      </c>
      <c r="G192" s="49">
        <f>SUMIFS('Remboursement Mensualités'!C$14:C$133,'Remboursement Mensualités'!$F$14:$F$133,'Table rentabilité optimisé'!$F192)</f>
        <v>0</v>
      </c>
      <c r="H192" s="49">
        <f>SUMIFS('Remboursement Mensualités'!D$14:D$133,'Remboursement Mensualités'!$F$14:$F$133,'Table rentabilité optimisé'!$F192)</f>
        <v>0</v>
      </c>
      <c r="I192" s="49">
        <f>SUMIFS('Remboursement Mensualités'!E$14:E$133,'Remboursement Mensualités'!$F$14:$F$133,'Table rentabilité optimisé'!$F192)</f>
        <v>0</v>
      </c>
      <c r="J192" s="49">
        <f>SUMIFS('Remboursement Mensualités'!B$14:B$133,'Remboursement Mensualités'!$F$14:$F$133,'Table rentabilité optimisé'!$F192)</f>
        <v>0</v>
      </c>
    </row>
    <row r="193" spans="2:35" s="1" customFormat="1" ht="16" thickBot="1" x14ac:dyDescent="0.4">
      <c r="F193" s="66" t="s">
        <v>59</v>
      </c>
      <c r="G193" s="44">
        <f>SUM(G183:G192)</f>
        <v>12240414.199999997</v>
      </c>
      <c r="H193" s="44">
        <f>SUM(H183:H192)</f>
        <v>5574455.710754144</v>
      </c>
      <c r="I193" s="44">
        <f>SUM(I183:I192)</f>
        <v>575237439.85215986</v>
      </c>
      <c r="J193" s="44">
        <f>SUM(J183:J192)</f>
        <v>17814869.910754137</v>
      </c>
    </row>
    <row r="194" spans="2:35" s="1" customFormat="1" x14ac:dyDescent="0.35"/>
    <row r="195" spans="2:35" s="1" customFormat="1" x14ac:dyDescent="0.35"/>
    <row r="196" spans="2:35" s="1" customFormat="1" ht="21" x14ac:dyDescent="0.5">
      <c r="B196" s="7" t="s">
        <v>29</v>
      </c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</row>
    <row r="197" spans="2:35" s="1" customFormat="1" ht="21" x14ac:dyDescent="0.5">
      <c r="B197" s="16"/>
    </row>
    <row r="198" spans="2:35" s="1" customFormat="1" ht="16" thickBot="1" x14ac:dyDescent="0.4">
      <c r="B198" s="32" t="s">
        <v>60</v>
      </c>
    </row>
    <row r="199" spans="2:35" s="1" customFormat="1" ht="16" thickBot="1" x14ac:dyDescent="0.4">
      <c r="B199" s="75" t="s">
        <v>92</v>
      </c>
      <c r="C199" s="94">
        <v>0</v>
      </c>
      <c r="D199" s="349">
        <v>1</v>
      </c>
      <c r="E199" s="94">
        <v>2</v>
      </c>
      <c r="F199" s="94">
        <v>3</v>
      </c>
      <c r="G199" s="94">
        <v>4</v>
      </c>
      <c r="H199" s="94">
        <v>5</v>
      </c>
      <c r="I199" s="94">
        <v>6</v>
      </c>
      <c r="J199" s="94">
        <v>7</v>
      </c>
      <c r="K199" s="94">
        <v>8</v>
      </c>
      <c r="L199" s="94">
        <v>9</v>
      </c>
      <c r="M199" s="94" t="s">
        <v>156</v>
      </c>
    </row>
    <row r="200" spans="2:35" ht="16" thickBot="1" x14ac:dyDescent="0.4">
      <c r="B200" s="76" t="s">
        <v>61</v>
      </c>
      <c r="C200" s="348">
        <f>D188+D186</f>
        <v>13989044.799999999</v>
      </c>
      <c r="D200" s="350">
        <f>J163</f>
        <v>14525000</v>
      </c>
      <c r="E200" s="100">
        <f>D200+($O$155*D200)</f>
        <v>14960750</v>
      </c>
      <c r="F200" s="100">
        <f t="shared" ref="F200:L200" si="8">E200+($O$155*E200)</f>
        <v>15409572.5</v>
      </c>
      <c r="G200" s="100">
        <f t="shared" si="8"/>
        <v>15871859.675000001</v>
      </c>
      <c r="H200" s="100">
        <f t="shared" si="8"/>
        <v>16348015.46525</v>
      </c>
      <c r="I200" s="100">
        <f t="shared" si="8"/>
        <v>16838455.9292075</v>
      </c>
      <c r="J200" s="100">
        <f t="shared" si="8"/>
        <v>17343609.607083727</v>
      </c>
      <c r="K200" s="100">
        <f t="shared" si="8"/>
        <v>17863917.895296238</v>
      </c>
      <c r="L200" s="100">
        <f t="shared" si="8"/>
        <v>18399835.432155125</v>
      </c>
      <c r="M200" s="100">
        <f t="shared" ref="M200:M206" si="9">SUM(C200:L200)</f>
        <v>161550061.3039926</v>
      </c>
      <c r="Q200" s="1"/>
      <c r="R200" s="1"/>
      <c r="S200" s="1"/>
      <c r="T200" s="1"/>
      <c r="U200" s="1"/>
      <c r="V200" s="1"/>
      <c r="W200" s="1"/>
      <c r="AC200"/>
      <c r="AD200"/>
      <c r="AE200"/>
      <c r="AF200"/>
      <c r="AG200"/>
      <c r="AH200"/>
      <c r="AI200"/>
    </row>
    <row r="201" spans="2:35" ht="16" thickBot="1" x14ac:dyDescent="0.4">
      <c r="B201" s="76" t="s">
        <v>62</v>
      </c>
      <c r="C201" s="348">
        <f>D183</f>
        <v>17486306</v>
      </c>
      <c r="D201" s="350">
        <f>F125</f>
        <v>5055000</v>
      </c>
      <c r="E201" s="100">
        <f>D201+($K$118*D201)</f>
        <v>5206650</v>
      </c>
      <c r="F201" s="100">
        <f>E201+($K$118*E201)</f>
        <v>5362849.5</v>
      </c>
      <c r="G201" s="100">
        <f t="shared" ref="G201:L201" si="10">F201+($K$118*F201)</f>
        <v>5523734.9850000003</v>
      </c>
      <c r="H201" s="100">
        <f>G201+($K$118*G201)</f>
        <v>5689447.03455</v>
      </c>
      <c r="I201" s="100">
        <f t="shared" si="10"/>
        <v>5860130.4455864998</v>
      </c>
      <c r="J201" s="100">
        <f t="shared" si="10"/>
        <v>6035934.3589540944</v>
      </c>
      <c r="K201" s="100">
        <f t="shared" si="10"/>
        <v>6217012.389722717</v>
      </c>
      <c r="L201" s="100">
        <f t="shared" si="10"/>
        <v>6403522.7614143984</v>
      </c>
      <c r="M201" s="100">
        <f t="shared" si="9"/>
        <v>68840587.475227714</v>
      </c>
      <c r="Q201" s="1"/>
      <c r="R201" s="1"/>
      <c r="S201" s="1"/>
      <c r="T201" s="1"/>
      <c r="U201" s="1"/>
      <c r="V201" s="1"/>
      <c r="W201" s="1"/>
      <c r="AC201"/>
      <c r="AD201"/>
      <c r="AE201"/>
      <c r="AF201"/>
      <c r="AG201"/>
      <c r="AH201"/>
      <c r="AI201"/>
    </row>
    <row r="202" spans="2:35" ht="16" thickBot="1" x14ac:dyDescent="0.4">
      <c r="B202" s="76" t="s">
        <v>63</v>
      </c>
      <c r="C202" s="100">
        <v>0</v>
      </c>
      <c r="D202" s="100">
        <f>G150</f>
        <v>1315352.3904761905</v>
      </c>
      <c r="E202" s="100">
        <v>400000</v>
      </c>
      <c r="F202" s="100">
        <v>400000</v>
      </c>
      <c r="G202" s="100">
        <v>400000</v>
      </c>
      <c r="H202" s="100">
        <v>400000</v>
      </c>
      <c r="I202" s="100">
        <v>400000</v>
      </c>
      <c r="J202" s="100">
        <v>400000</v>
      </c>
      <c r="K202" s="100">
        <v>400000</v>
      </c>
      <c r="L202" s="100">
        <v>400000</v>
      </c>
      <c r="M202" s="100">
        <f t="shared" si="9"/>
        <v>4515352.3904761905</v>
      </c>
      <c r="Q202" s="1"/>
      <c r="R202" s="1"/>
      <c r="S202" s="1"/>
      <c r="T202" s="1"/>
      <c r="U202" s="1"/>
      <c r="V202" s="1"/>
      <c r="W202" s="1"/>
      <c r="AC202"/>
      <c r="AD202"/>
      <c r="AE202"/>
      <c r="AF202"/>
      <c r="AG202"/>
      <c r="AH202"/>
      <c r="AI202"/>
    </row>
    <row r="203" spans="2:35" ht="16" thickBot="1" x14ac:dyDescent="0.4">
      <c r="B203" s="76" t="s">
        <v>64</v>
      </c>
      <c r="C203" s="100">
        <v>0</v>
      </c>
      <c r="D203" s="100">
        <f>IFERROR(INDEX($J$183:$J$192,MATCH(D199,$F$183:$F$192,0)),0)</f>
        <v>2544981.4158220198</v>
      </c>
      <c r="E203" s="100">
        <f t="shared" ref="E203:L203" si="11">IFERROR(INDEX($J$183:$J$192,MATCH(E199,$F$183:$F$192,0)),0)</f>
        <v>2544981.4158220198</v>
      </c>
      <c r="F203" s="100">
        <f t="shared" si="11"/>
        <v>2544981.4158220198</v>
      </c>
      <c r="G203" s="100">
        <f t="shared" si="11"/>
        <v>2544981.4158220198</v>
      </c>
      <c r="H203" s="100">
        <f t="shared" si="11"/>
        <v>2544981.4158220198</v>
      </c>
      <c r="I203" s="100">
        <f t="shared" si="11"/>
        <v>2544981.4158220198</v>
      </c>
      <c r="J203" s="100">
        <f t="shared" si="11"/>
        <v>2544981.4158220198</v>
      </c>
      <c r="K203" s="100">
        <f t="shared" si="11"/>
        <v>0</v>
      </c>
      <c r="L203" s="100">
        <f t="shared" si="11"/>
        <v>0</v>
      </c>
      <c r="M203" s="100">
        <f t="shared" si="9"/>
        <v>17814869.910754137</v>
      </c>
      <c r="Q203" s="1"/>
      <c r="R203" s="1"/>
      <c r="S203" s="1"/>
      <c r="T203" s="1"/>
      <c r="U203" s="1"/>
      <c r="V203" s="1"/>
      <c r="W203" s="1"/>
      <c r="AC203"/>
      <c r="AD203"/>
      <c r="AE203"/>
      <c r="AF203"/>
      <c r="AG203"/>
      <c r="AH203"/>
      <c r="AI203"/>
    </row>
    <row r="204" spans="2:35" ht="16" thickBot="1" x14ac:dyDescent="0.4">
      <c r="B204" s="77" t="s">
        <v>65</v>
      </c>
      <c r="C204" s="45">
        <v>0</v>
      </c>
      <c r="D204" s="45">
        <f>D200-SUM(D201:D203)</f>
        <v>5609666.1937017888</v>
      </c>
      <c r="E204" s="45">
        <f t="shared" ref="E204:L204" si="12">E200-SUM(E201:E203)</f>
        <v>6809118.5841779802</v>
      </c>
      <c r="F204" s="45">
        <f t="shared" si="12"/>
        <v>7101741.5841779802</v>
      </c>
      <c r="G204" s="45">
        <f t="shared" si="12"/>
        <v>7403143.2741779797</v>
      </c>
      <c r="H204" s="45">
        <f t="shared" si="12"/>
        <v>7713587.0148779806</v>
      </c>
      <c r="I204" s="45">
        <f t="shared" si="12"/>
        <v>8033344.0677989796</v>
      </c>
      <c r="J204" s="45">
        <f t="shared" si="12"/>
        <v>8362693.8323076125</v>
      </c>
      <c r="K204" s="45">
        <f t="shared" si="12"/>
        <v>11246905.505573522</v>
      </c>
      <c r="L204" s="45">
        <f t="shared" si="12"/>
        <v>11596312.670740727</v>
      </c>
      <c r="M204" s="45">
        <f t="shared" si="9"/>
        <v>73876512.727534547</v>
      </c>
      <c r="Q204" s="1"/>
      <c r="R204" s="1"/>
      <c r="S204" s="1"/>
      <c r="T204" s="1"/>
      <c r="U204" s="1"/>
      <c r="V204" s="1"/>
      <c r="W204" s="1"/>
      <c r="AC204"/>
      <c r="AD204"/>
      <c r="AE204"/>
      <c r="AF204"/>
      <c r="AG204"/>
      <c r="AH204"/>
      <c r="AI204"/>
    </row>
    <row r="205" spans="2:35" ht="16" thickBot="1" x14ac:dyDescent="0.4">
      <c r="B205" s="76" t="s">
        <v>66</v>
      </c>
      <c r="C205" s="102">
        <v>0</v>
      </c>
      <c r="D205" s="102">
        <f>IF(D204&lt;0,0,0.3*D204)</f>
        <v>1682899.8581105366</v>
      </c>
      <c r="E205" s="102">
        <f t="shared" ref="E205:L205" si="13">IF(E204&lt;0,0,0.3*E204)</f>
        <v>2042735.575253394</v>
      </c>
      <c r="F205" s="102">
        <f t="shared" si="13"/>
        <v>2130522.4752533939</v>
      </c>
      <c r="G205" s="102">
        <f t="shared" si="13"/>
        <v>2220942.9822533936</v>
      </c>
      <c r="H205" s="102">
        <f t="shared" si="13"/>
        <v>2314076.1044633943</v>
      </c>
      <c r="I205" s="102">
        <f t="shared" si="13"/>
        <v>2410003.2203396936</v>
      </c>
      <c r="J205" s="102">
        <f t="shared" si="13"/>
        <v>2508808.1496922835</v>
      </c>
      <c r="K205" s="102">
        <f t="shared" si="13"/>
        <v>3374071.6516720564</v>
      </c>
      <c r="L205" s="102">
        <f t="shared" si="13"/>
        <v>3478893.8012222182</v>
      </c>
      <c r="M205" s="102">
        <f t="shared" si="9"/>
        <v>22162953.818260364</v>
      </c>
      <c r="Q205" s="1"/>
      <c r="R205" s="1"/>
      <c r="S205" s="1"/>
      <c r="T205" s="1"/>
      <c r="U205" s="1"/>
      <c r="V205" s="1"/>
      <c r="W205" s="1"/>
      <c r="AC205"/>
      <c r="AD205"/>
      <c r="AE205"/>
      <c r="AF205"/>
      <c r="AG205"/>
      <c r="AH205"/>
      <c r="AI205"/>
    </row>
    <row r="206" spans="2:35" ht="16" thickBot="1" x14ac:dyDescent="0.4">
      <c r="B206" s="77" t="s">
        <v>67</v>
      </c>
      <c r="C206" s="45">
        <v>0</v>
      </c>
      <c r="D206" s="45">
        <f>D204-D205</f>
        <v>3926766.335591252</v>
      </c>
      <c r="E206" s="45">
        <f t="shared" ref="E206:L206" si="14">E204-E205</f>
        <v>4766383.0089245867</v>
      </c>
      <c r="F206" s="45">
        <f t="shared" si="14"/>
        <v>4971219.1089245863</v>
      </c>
      <c r="G206" s="45">
        <f t="shared" si="14"/>
        <v>5182200.2919245865</v>
      </c>
      <c r="H206" s="45">
        <f t="shared" si="14"/>
        <v>5399510.9104145858</v>
      </c>
      <c r="I206" s="45">
        <f t="shared" si="14"/>
        <v>5623340.8474592865</v>
      </c>
      <c r="J206" s="45">
        <f t="shared" si="14"/>
        <v>5853885.6826153286</v>
      </c>
      <c r="K206" s="45">
        <f t="shared" si="14"/>
        <v>7872833.8539014664</v>
      </c>
      <c r="L206" s="45">
        <f t="shared" si="14"/>
        <v>8117418.8695185091</v>
      </c>
      <c r="M206" s="45">
        <f t="shared" si="9"/>
        <v>51713558.909274191</v>
      </c>
      <c r="Q206" s="1"/>
      <c r="R206" s="1"/>
      <c r="S206" s="1"/>
      <c r="T206" s="1"/>
      <c r="U206" s="1"/>
      <c r="V206" s="1"/>
      <c r="W206" s="1"/>
      <c r="AC206"/>
      <c r="AD206"/>
      <c r="AE206"/>
      <c r="AF206"/>
      <c r="AG206"/>
      <c r="AH206"/>
      <c r="AI206"/>
    </row>
    <row r="207" spans="2:35" ht="16" thickBot="1" x14ac:dyDescent="0.4">
      <c r="B207" s="77" t="s">
        <v>105</v>
      </c>
      <c r="C207" s="45">
        <f>C200-C201</f>
        <v>-3497261.2000000011</v>
      </c>
      <c r="D207" s="45">
        <f t="shared" ref="D207:L207" si="15">C207+D206</f>
        <v>429505.13559125084</v>
      </c>
      <c r="E207" s="45">
        <f t="shared" si="15"/>
        <v>5195888.1445158375</v>
      </c>
      <c r="F207" s="45">
        <f>E207+F206</f>
        <v>10167107.253440425</v>
      </c>
      <c r="G207" s="45">
        <f t="shared" si="15"/>
        <v>15349307.545365011</v>
      </c>
      <c r="H207" s="45">
        <f>G207+H206</f>
        <v>20748818.455779597</v>
      </c>
      <c r="I207" s="45">
        <f t="shared" si="15"/>
        <v>26372159.303238884</v>
      </c>
      <c r="J207" s="45">
        <f t="shared" si="15"/>
        <v>32226044.985854212</v>
      </c>
      <c r="K207" s="45">
        <f t="shared" si="15"/>
        <v>40098878.839755677</v>
      </c>
      <c r="L207" s="45">
        <f t="shared" si="15"/>
        <v>48216297.709274188</v>
      </c>
      <c r="M207" s="45"/>
      <c r="Q207" s="1"/>
      <c r="R207" s="1"/>
      <c r="S207" s="1"/>
      <c r="T207" s="1"/>
      <c r="U207" s="1"/>
      <c r="V207" s="1"/>
      <c r="W207" s="1"/>
      <c r="AC207"/>
      <c r="AD207"/>
      <c r="AE207"/>
      <c r="AF207"/>
      <c r="AG207"/>
      <c r="AH207"/>
      <c r="AI207"/>
    </row>
    <row r="208" spans="2:35" ht="16" thickBot="1" x14ac:dyDescent="0.4">
      <c r="B208" s="77" t="s">
        <v>104</v>
      </c>
      <c r="C208" s="99">
        <v>0</v>
      </c>
      <c r="D208" s="99">
        <f>D206+D203-($H$193/$D$190)</f>
        <v>5675396.9355912516</v>
      </c>
      <c r="E208" s="99">
        <f t="shared" ref="E208:L208" si="16">E206+E203-($H$193/$D$190)</f>
        <v>6515013.6089245863</v>
      </c>
      <c r="F208" s="99">
        <f t="shared" si="16"/>
        <v>6719849.708924586</v>
      </c>
      <c r="G208" s="99">
        <f t="shared" si="16"/>
        <v>6930830.8919245861</v>
      </c>
      <c r="H208" s="99">
        <f t="shared" si="16"/>
        <v>7148141.5104145855</v>
      </c>
      <c r="I208" s="99">
        <f t="shared" si="16"/>
        <v>7371971.4474592861</v>
      </c>
      <c r="J208" s="99">
        <f t="shared" si="16"/>
        <v>7602516.2826153282</v>
      </c>
      <c r="K208" s="99">
        <f t="shared" si="16"/>
        <v>7076483.0380794462</v>
      </c>
      <c r="L208" s="99">
        <f t="shared" si="16"/>
        <v>7321068.053696489</v>
      </c>
      <c r="M208" s="99"/>
      <c r="Q208" s="1"/>
      <c r="R208" s="1"/>
      <c r="S208" s="1"/>
      <c r="T208" s="1"/>
      <c r="U208" s="1"/>
      <c r="V208" s="1"/>
      <c r="W208" s="1"/>
      <c r="AC208"/>
      <c r="AD208"/>
      <c r="AE208"/>
      <c r="AF208"/>
      <c r="AG208"/>
      <c r="AH208"/>
      <c r="AI208"/>
    </row>
    <row r="209" spans="2:35" ht="16" thickBot="1" x14ac:dyDescent="0.4">
      <c r="B209" s="77" t="s">
        <v>103</v>
      </c>
      <c r="C209" s="99">
        <f>-C201</f>
        <v>-17486306</v>
      </c>
      <c r="D209" s="99">
        <f>C209+D208</f>
        <v>-11810909.064408749</v>
      </c>
      <c r="E209" s="99">
        <f t="shared" ref="E209:L209" si="17">D209+E208</f>
        <v>-5295895.455484163</v>
      </c>
      <c r="F209" s="99">
        <f>E209+F208</f>
        <v>1423954.2534404229</v>
      </c>
      <c r="G209" s="99">
        <f t="shared" si="17"/>
        <v>8354785.1453650091</v>
      </c>
      <c r="H209" s="99">
        <f>G209+H208</f>
        <v>15502926.655779595</v>
      </c>
      <c r="I209" s="99">
        <f t="shared" si="17"/>
        <v>22874898.103238881</v>
      </c>
      <c r="J209" s="99">
        <f t="shared" si="17"/>
        <v>30477414.385854207</v>
      </c>
      <c r="K209" s="99">
        <f t="shared" si="17"/>
        <v>37553897.423933655</v>
      </c>
      <c r="L209" s="99">
        <f t="shared" si="17"/>
        <v>44874965.477630146</v>
      </c>
      <c r="M209" s="99"/>
      <c r="Q209" s="1"/>
      <c r="R209" s="1"/>
      <c r="S209" s="1"/>
      <c r="T209" s="1"/>
      <c r="U209" s="1"/>
      <c r="V209" s="1"/>
      <c r="W209" s="1"/>
      <c r="AC209"/>
      <c r="AD209"/>
      <c r="AE209"/>
      <c r="AF209"/>
      <c r="AG209"/>
      <c r="AH209"/>
      <c r="AI209"/>
    </row>
    <row r="210" spans="2:35" x14ac:dyDescent="0.35">
      <c r="B210" s="1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Q210" s="1"/>
      <c r="R210" s="1"/>
      <c r="S210" s="1"/>
      <c r="T210" s="1"/>
      <c r="U210" s="1"/>
      <c r="V210" s="1"/>
      <c r="W210" s="1"/>
      <c r="AB210"/>
      <c r="AC210"/>
      <c r="AD210"/>
      <c r="AE210"/>
      <c r="AF210"/>
      <c r="AG210"/>
      <c r="AH210"/>
      <c r="AI210"/>
    </row>
    <row r="211" spans="2:35" x14ac:dyDescent="0.35">
      <c r="B211" s="1"/>
      <c r="D211" s="1"/>
      <c r="E211" s="1"/>
      <c r="F211" s="1"/>
      <c r="G211" s="1"/>
      <c r="H211" s="1"/>
      <c r="I211" s="1"/>
      <c r="Q211" s="1"/>
      <c r="R211" s="1"/>
      <c r="S211" s="1"/>
      <c r="T211" s="1"/>
      <c r="U211" s="1"/>
      <c r="V211" s="1"/>
      <c r="W211" s="1"/>
      <c r="AB211"/>
      <c r="AC211"/>
      <c r="AD211"/>
      <c r="AE211"/>
      <c r="AF211"/>
      <c r="AG211"/>
      <c r="AH211"/>
      <c r="AI211"/>
    </row>
    <row r="212" spans="2:35" ht="21" x14ac:dyDescent="0.5">
      <c r="B212" s="7" t="s">
        <v>68</v>
      </c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Q212" s="1"/>
      <c r="R212" s="1"/>
      <c r="S212" s="1"/>
      <c r="T212" s="1"/>
      <c r="U212" s="1"/>
      <c r="V212" s="1"/>
      <c r="W212" s="1"/>
      <c r="AB212"/>
      <c r="AC212"/>
      <c r="AD212"/>
      <c r="AE212"/>
      <c r="AF212"/>
      <c r="AG212"/>
      <c r="AH212"/>
      <c r="AI212"/>
    </row>
    <row r="213" spans="2:35" ht="16" thickBot="1" x14ac:dyDescent="0.4">
      <c r="B213" s="1"/>
      <c r="C213" s="1"/>
      <c r="D213" s="1"/>
      <c r="E213" s="1"/>
      <c r="F213" s="1"/>
      <c r="G213" s="1"/>
      <c r="H213" s="1"/>
      <c r="I213" s="1"/>
      <c r="Q213" s="1"/>
      <c r="R213" s="1"/>
      <c r="S213" s="1"/>
      <c r="T213" s="1"/>
      <c r="U213" s="1"/>
      <c r="V213" s="1"/>
      <c r="W213" s="1"/>
      <c r="AB213"/>
      <c r="AC213"/>
      <c r="AD213"/>
      <c r="AE213"/>
      <c r="AF213"/>
      <c r="AG213"/>
      <c r="AH213"/>
      <c r="AI213"/>
    </row>
    <row r="214" spans="2:35" ht="19" thickBot="1" x14ac:dyDescent="0.5">
      <c r="B214" s="98" t="s">
        <v>69</v>
      </c>
      <c r="C214" s="103">
        <f>NPV(F214,IF(D199&lt;=H214,D208,0),IF(E199&lt;=H214,E208,0),IF(F199&lt;=H214,F208,0),IF(G199&lt;=H214,G208,0),IF(H199&lt;=H214,H208,0),IF(I199&lt;=H214,I208,0),IF(J199&lt;=H214,J208,0),IF(K199&lt;=H214,K208,0),IF(L199&lt;=H214,L208,0))-D183</f>
        <v>31348682.802012973</v>
      </c>
      <c r="D214" s="1" t="s">
        <v>96</v>
      </c>
      <c r="E214" s="96" t="s">
        <v>93</v>
      </c>
      <c r="F214" s="106">
        <v>0.05</v>
      </c>
      <c r="G214" s="96" t="s">
        <v>94</v>
      </c>
      <c r="H214" s="107">
        <v>9</v>
      </c>
      <c r="N214" s="97">
        <f>-D183+IF(H214&gt;=D199,(D206+D203-H193/D190)*((1+F214)^-1),0)+IF(H214&gt;=E199,(E206+E203-H193/D190)*((1+F214)^-2),0)+IF(H214&gt;=F199,(F206+F203-H193/D190)*((1+F214)^-3),0)+IF(H214&gt;=G199,(G206+G203-H193/D190)*((1+F214)^-4),0)+IF(H214&gt;=H199,(H206+H203-H193/D190)*((1+F214)^-5),0)+IF(H214&gt;=I199,(I206+I203-H193/D190)*((1+F214)^-6),0)+IF(H214&gt;=J199,(J206+J203-H193/D190)*((1+F214)^-7),0)+IF(H214&gt;=K199,(K206+K203-H193/D190)*((1+F214)^-8),0)+IF(H214&gt;=L199,(L206+L203-H193/D190)*((1+F214)^-9),0)</f>
        <v>31348682.80201298</v>
      </c>
      <c r="O214" s="1" t="s">
        <v>95</v>
      </c>
      <c r="Q214" s="1"/>
      <c r="R214" s="1"/>
      <c r="S214" s="1"/>
      <c r="T214" s="1"/>
      <c r="U214" s="1"/>
      <c r="V214" s="1"/>
      <c r="W214" s="1"/>
      <c r="AB214"/>
      <c r="AC214"/>
      <c r="AD214"/>
      <c r="AE214"/>
      <c r="AF214"/>
      <c r="AG214"/>
      <c r="AH214"/>
      <c r="AI214"/>
    </row>
    <row r="215" spans="2:35" ht="19" thickBot="1" x14ac:dyDescent="0.5">
      <c r="B215" s="98" t="s">
        <v>70</v>
      </c>
      <c r="C215" s="104">
        <f>IRR(N215:W215,10.8%)</f>
        <v>0.34967125529052989</v>
      </c>
      <c r="D215" s="1"/>
      <c r="E215" s="1"/>
      <c r="F215" s="1"/>
      <c r="G215" s="1"/>
      <c r="H215" s="1"/>
      <c r="I215" s="1"/>
      <c r="N215" s="344">
        <f>-D183</f>
        <v>-17486306</v>
      </c>
      <c r="O215" s="345">
        <f>IF(D199&lt;=H214,D208,0)</f>
        <v>5675396.9355912516</v>
      </c>
      <c r="P215" s="345">
        <f>IF(E199&lt;=H214,E208,0)</f>
        <v>6515013.6089245863</v>
      </c>
      <c r="Q215" s="345">
        <f>IF(F199&lt;=H214,F208,0)</f>
        <v>6719849.708924586</v>
      </c>
      <c r="R215" s="345">
        <f>IF(G199&lt;=H214,G208,0)</f>
        <v>6930830.8919245861</v>
      </c>
      <c r="S215" s="345">
        <f>IF(H199&lt;=H214,H208,0)</f>
        <v>7148141.5104145855</v>
      </c>
      <c r="T215" s="345">
        <f>IF(I199&lt;=H214,I208,0)</f>
        <v>7371971.4474592861</v>
      </c>
      <c r="U215" s="345">
        <f>IF(J199&lt;=H214,J208,0)</f>
        <v>7602516.2826153282</v>
      </c>
      <c r="V215" s="345">
        <f>IF(K199&lt;=H214,K208,0)</f>
        <v>7076483.0380794462</v>
      </c>
      <c r="W215" s="345">
        <f>IF(L199&lt;=H214,L208,0)</f>
        <v>7321068.053696489</v>
      </c>
      <c r="AB215"/>
      <c r="AC215"/>
      <c r="AD215"/>
      <c r="AE215"/>
      <c r="AF215"/>
      <c r="AG215"/>
      <c r="AH215"/>
      <c r="AI215"/>
    </row>
    <row r="216" spans="2:35" ht="19" thickBot="1" x14ac:dyDescent="0.5">
      <c r="B216" s="98" t="s">
        <v>71</v>
      </c>
      <c r="C216" s="105">
        <f>SUM(O215:W215)/D183</f>
        <v>3.566291901653222</v>
      </c>
      <c r="D216" s="101" t="str">
        <f>"Pour 1000 CFA investis, on récupère "&amp;ROUND(N216,0)&amp;" CFA"</f>
        <v>Pour 1000 CFA investis, on récupère 2566 CFA</v>
      </c>
      <c r="E216" s="1"/>
      <c r="F216" s="1"/>
      <c r="G216" s="1"/>
      <c r="H216" s="1"/>
      <c r="I216" s="1"/>
      <c r="N216" s="346">
        <f>(C216-1)*1000</f>
        <v>2566.2919016532219</v>
      </c>
      <c r="O216" s="347"/>
      <c r="P216" s="347"/>
      <c r="Q216" s="347"/>
      <c r="R216" s="347"/>
      <c r="S216" s="347"/>
      <c r="T216" s="347"/>
      <c r="U216" s="347"/>
      <c r="V216" s="347"/>
      <c r="W216" s="347"/>
      <c r="AB216"/>
      <c r="AC216"/>
      <c r="AD216"/>
      <c r="AE216"/>
      <c r="AF216"/>
      <c r="AG216"/>
      <c r="AH216"/>
      <c r="AI216"/>
    </row>
    <row r="217" spans="2:35" ht="19" thickBot="1" x14ac:dyDescent="0.5">
      <c r="B217" s="98" t="s">
        <v>72</v>
      </c>
      <c r="C217" s="119">
        <f>N217+(-P217/(O217-P217))</f>
        <v>2.7880973064696253</v>
      </c>
      <c r="D217" s="1" t="str">
        <f>"Le délai de récupération est de "&amp;ROUNDDOWN(C217,0)&amp;" ans et "&amp;ROUNDDOWN((C217-ROUNDDOWN(C217,0))*12,0)&amp;" mois"</f>
        <v>Le délai de récupération est de 2 ans et 9 mois</v>
      </c>
      <c r="E217" s="1"/>
      <c r="F217" s="95"/>
      <c r="G217" s="1"/>
      <c r="H217" s="1"/>
      <c r="N217" s="345">
        <f>IF(AND(L209&lt;0,L199&lt;=H214),L199,IF(AND(K209&lt;0,K199&lt;=H214),K199,IF(AND(J209&lt;0,J199&lt;=H214),J199,IF(AND(I209&lt;0,I199&lt;=H214),I199,IF(AND(H209&lt;0,H199&lt;=H214),H199,IF(AND(G209&lt;0,G199&lt;=H214),G199,IF(AND(F209&lt;0,F199&lt;=H214),F199,IF(AND(E209&lt;0,E199&lt;=H214),E199,IF(AND(D209&lt;0,D199&lt;=H214),D199,IF(AND(C209&lt;0,C199&lt;=H214),C199))))))))))</f>
        <v>2</v>
      </c>
      <c r="O217" s="345">
        <f>INDEX(C209:L209,MATCH(INDEX(C199:L199,MATCH(P217,C209:L209,0))+1,C199:L199,0))</f>
        <v>1423954.2534404229</v>
      </c>
      <c r="P217" s="345">
        <f>IF(AND(L209&lt;0,L199&lt;=H214),L209,IF(AND(K209&lt;0,K199&lt;=H214),K209,IF(AND(J209&lt;0,J199&lt;=H214),J209,IF(AND(I209&lt;0,I199&lt;=H214),I209,IF(AND(H209&lt;0,H199&lt;=H214),H209,IF(AND(G209&lt;0,G199&lt;=H214),G209,IF(AND(F209&lt;0,F199&lt;=H214),F209,IF(AND(E209&lt;0,E199&lt;=H214),E209,IF(AND(D209&lt;0,D199&lt;=H214),D209,IF(AND(C209&lt;0,C199&lt;=H214),C209))))))))))</f>
        <v>-5295895.455484163</v>
      </c>
      <c r="Q217" s="347"/>
      <c r="R217" s="347"/>
      <c r="S217" s="347"/>
      <c r="T217" s="347"/>
      <c r="U217" s="347"/>
      <c r="V217" s="347"/>
      <c r="W217" s="347"/>
      <c r="AB217"/>
      <c r="AC217"/>
      <c r="AD217"/>
      <c r="AE217"/>
      <c r="AF217"/>
      <c r="AG217"/>
      <c r="AH217"/>
      <c r="AI217"/>
    </row>
    <row r="218" spans="2:35" ht="19" thickBot="1" x14ac:dyDescent="0.5">
      <c r="B218" s="98" t="s">
        <v>169</v>
      </c>
      <c r="C218" s="119">
        <f>(D200-D201)/(D203)</f>
        <v>3.7210487829598646</v>
      </c>
      <c r="D218" s="1"/>
      <c r="E218" s="1"/>
      <c r="F218" s="1"/>
      <c r="G218" s="1"/>
      <c r="H218" s="1"/>
      <c r="I218" s="1"/>
      <c r="Q218" s="1"/>
      <c r="R218" s="1"/>
      <c r="S218" s="1"/>
      <c r="T218" s="1"/>
      <c r="U218" s="1"/>
      <c r="V218" s="1"/>
      <c r="W218" s="1"/>
      <c r="AB218"/>
      <c r="AC218"/>
      <c r="AD218"/>
      <c r="AE218"/>
      <c r="AF218"/>
      <c r="AG218"/>
      <c r="AH218"/>
      <c r="AI218"/>
    </row>
    <row r="219" spans="2:35" x14ac:dyDescent="0.35">
      <c r="B219" s="1"/>
      <c r="C219" s="1"/>
      <c r="D219" s="1"/>
      <c r="E219" s="1"/>
      <c r="F219" s="1"/>
      <c r="G219" s="1"/>
      <c r="H219" s="1"/>
      <c r="I219" s="1"/>
      <c r="Q219" s="1"/>
      <c r="R219" s="1"/>
      <c r="S219" s="1"/>
      <c r="T219" s="1"/>
      <c r="U219" s="1"/>
      <c r="V219" s="1"/>
      <c r="W219" s="1"/>
      <c r="AB219"/>
      <c r="AC219"/>
      <c r="AD219"/>
      <c r="AE219"/>
      <c r="AF219"/>
      <c r="AG219"/>
      <c r="AH219"/>
      <c r="AI219"/>
    </row>
    <row r="220" spans="2:35" x14ac:dyDescent="0.35">
      <c r="B220" s="1"/>
      <c r="C220" s="1"/>
      <c r="D220" s="1"/>
      <c r="E220" s="1"/>
      <c r="F220" s="1"/>
      <c r="G220" s="1"/>
      <c r="H220" s="1"/>
      <c r="I220" s="1"/>
      <c r="Q220" s="1"/>
      <c r="R220" s="1"/>
      <c r="S220" s="1"/>
      <c r="T220" s="1"/>
      <c r="U220" s="1"/>
      <c r="V220" s="1"/>
      <c r="W220" s="1"/>
      <c r="AB220"/>
      <c r="AC220"/>
      <c r="AD220"/>
      <c r="AE220"/>
      <c r="AF220"/>
      <c r="AG220"/>
      <c r="AH220"/>
      <c r="AI220"/>
    </row>
    <row r="221" spans="2:35" ht="21" x14ac:dyDescent="0.5">
      <c r="B221" s="7" t="s">
        <v>259</v>
      </c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Q221" s="1"/>
      <c r="R221" s="1"/>
      <c r="S221" s="1"/>
      <c r="T221" s="1"/>
      <c r="U221" s="1"/>
      <c r="V221" s="1"/>
      <c r="W221" s="1"/>
      <c r="AB221"/>
      <c r="AC221"/>
      <c r="AD221"/>
      <c r="AE221"/>
      <c r="AF221"/>
      <c r="AG221"/>
      <c r="AH221"/>
      <c r="AI221"/>
    </row>
    <row r="222" spans="2:35" x14ac:dyDescent="0.35">
      <c r="B222" s="1"/>
      <c r="C222" s="1"/>
      <c r="D222" s="1"/>
      <c r="E222" s="1"/>
      <c r="F222" s="1"/>
      <c r="G222" s="1"/>
      <c r="H222" s="1"/>
      <c r="I222" s="1"/>
      <c r="Q222" s="1"/>
      <c r="R222" s="1"/>
      <c r="S222" s="1"/>
      <c r="T222" s="1"/>
      <c r="U222" s="1"/>
      <c r="V222" s="1"/>
      <c r="W222" s="1"/>
      <c r="AB222"/>
      <c r="AC222"/>
      <c r="AD222"/>
      <c r="AE222"/>
      <c r="AF222"/>
      <c r="AG222"/>
      <c r="AH222"/>
      <c r="AI222"/>
    </row>
    <row r="223" spans="2:35" ht="16" thickBot="1" x14ac:dyDescent="0.4">
      <c r="B223" s="1"/>
      <c r="C223" s="1"/>
      <c r="D223" s="1"/>
      <c r="E223" s="1"/>
      <c r="F223" s="1"/>
      <c r="G223" s="1"/>
      <c r="H223" s="1"/>
      <c r="I223" s="1"/>
      <c r="Q223" s="1"/>
      <c r="R223" s="1"/>
      <c r="S223" s="1"/>
      <c r="T223" s="1"/>
      <c r="U223" s="1"/>
      <c r="V223" s="1"/>
      <c r="W223" s="1"/>
      <c r="AB223"/>
      <c r="AC223"/>
      <c r="AD223"/>
      <c r="AE223"/>
      <c r="AF223"/>
      <c r="AG223"/>
      <c r="AH223"/>
      <c r="AI223"/>
    </row>
    <row r="224" spans="2:35" ht="16" thickBot="1" x14ac:dyDescent="0.4">
      <c r="B224" s="12" t="s">
        <v>307</v>
      </c>
      <c r="C224" s="1"/>
      <c r="D224" s="1"/>
      <c r="E224" s="1"/>
      <c r="F224" s="255">
        <v>7</v>
      </c>
      <c r="G224" s="156" t="s">
        <v>168</v>
      </c>
      <c r="H224" s="1"/>
      <c r="I224" s="1"/>
      <c r="Q224" s="1"/>
      <c r="R224" s="1"/>
      <c r="S224" s="1"/>
      <c r="T224" s="1"/>
      <c r="U224" s="1"/>
      <c r="V224" s="1"/>
      <c r="W224" s="1"/>
      <c r="AB224"/>
      <c r="AC224"/>
      <c r="AD224"/>
      <c r="AE224"/>
      <c r="AF224"/>
      <c r="AG224"/>
      <c r="AH224"/>
      <c r="AI224"/>
    </row>
    <row r="225" spans="2:35" ht="16" thickBot="1" x14ac:dyDescent="0.4">
      <c r="B225" s="12" t="s">
        <v>266</v>
      </c>
      <c r="C225" s="1"/>
      <c r="D225" s="1"/>
      <c r="E225" s="1"/>
      <c r="F225" s="255">
        <f>SUM('investissement réel'!E4:E24)-10000000</f>
        <v>31375068</v>
      </c>
      <c r="G225" s="156" t="s">
        <v>96</v>
      </c>
      <c r="H225" s="1"/>
      <c r="I225" s="1"/>
      <c r="Q225" s="1"/>
      <c r="R225" s="1"/>
      <c r="S225" s="1"/>
      <c r="T225" s="1"/>
      <c r="U225" s="1"/>
      <c r="V225" s="1"/>
      <c r="W225" s="1"/>
      <c r="AB225"/>
      <c r="AC225"/>
      <c r="AD225"/>
      <c r="AE225"/>
      <c r="AF225"/>
      <c r="AG225"/>
      <c r="AH225"/>
      <c r="AI225"/>
    </row>
    <row r="226" spans="2:35" ht="16" thickBot="1" x14ac:dyDescent="0.4">
      <c r="B226" s="12" t="s">
        <v>270</v>
      </c>
      <c r="C226" s="1"/>
      <c r="D226" s="1"/>
      <c r="E226" s="1"/>
      <c r="F226" s="255">
        <v>13765297.782336438</v>
      </c>
      <c r="G226" s="156" t="s">
        <v>96</v>
      </c>
      <c r="H226" s="1"/>
      <c r="I226" s="1"/>
      <c r="Q226" s="1"/>
      <c r="R226" s="1"/>
      <c r="S226" s="1"/>
      <c r="T226" s="1"/>
      <c r="U226" s="1"/>
      <c r="V226" s="1"/>
      <c r="W226" s="1"/>
      <c r="AB226"/>
      <c r="AC226"/>
      <c r="AD226"/>
      <c r="AE226"/>
      <c r="AF226"/>
      <c r="AG226"/>
      <c r="AH226"/>
      <c r="AI226"/>
    </row>
    <row r="227" spans="2:35" ht="16" thickBot="1" x14ac:dyDescent="0.4">
      <c r="B227" s="12" t="s">
        <v>267</v>
      </c>
      <c r="C227" s="1"/>
      <c r="D227" s="1"/>
      <c r="E227" s="1"/>
      <c r="F227" s="255">
        <v>17486305.999999996</v>
      </c>
      <c r="G227" s="156" t="s">
        <v>96</v>
      </c>
      <c r="H227" s="1"/>
      <c r="I227" s="1"/>
      <c r="Q227" s="1"/>
      <c r="R227" s="1"/>
      <c r="S227" s="1"/>
      <c r="T227" s="1"/>
      <c r="U227" s="1"/>
      <c r="V227" s="1"/>
      <c r="W227" s="1"/>
      <c r="AB227"/>
      <c r="AC227"/>
      <c r="AD227"/>
      <c r="AE227"/>
      <c r="AF227"/>
      <c r="AG227"/>
      <c r="AH227"/>
      <c r="AI227"/>
    </row>
    <row r="228" spans="2:35" ht="16" thickBot="1" x14ac:dyDescent="0.4">
      <c r="B228" s="12" t="s">
        <v>269</v>
      </c>
      <c r="C228" s="1"/>
      <c r="D228" s="1"/>
      <c r="E228" s="1"/>
      <c r="F228" s="293">
        <f>H193</f>
        <v>5574455.710754144</v>
      </c>
      <c r="G228" s="156" t="s">
        <v>96</v>
      </c>
      <c r="H228" s="1"/>
      <c r="I228" s="1"/>
      <c r="Q228" s="1"/>
      <c r="R228" s="1"/>
      <c r="S228" s="1"/>
      <c r="T228" s="1"/>
      <c r="U228" s="1"/>
      <c r="V228" s="1"/>
      <c r="W228" s="1"/>
      <c r="AB228"/>
      <c r="AC228"/>
      <c r="AD228"/>
      <c r="AE228"/>
      <c r="AF228"/>
      <c r="AG228"/>
      <c r="AH228"/>
      <c r="AI228"/>
    </row>
    <row r="229" spans="2:35" ht="16" thickBot="1" x14ac:dyDescent="0.4">
      <c r="B229" s="12" t="s">
        <v>286</v>
      </c>
      <c r="C229" s="1"/>
      <c r="D229" s="1"/>
      <c r="E229" s="1"/>
      <c r="F229" s="255">
        <f>G150*F224</f>
        <v>9207466.7333333343</v>
      </c>
      <c r="G229" s="156" t="s">
        <v>96</v>
      </c>
      <c r="H229" s="1"/>
      <c r="I229" s="1"/>
      <c r="Q229" s="1"/>
      <c r="R229" s="1"/>
      <c r="S229" s="1"/>
      <c r="T229" s="1"/>
      <c r="U229" s="1"/>
      <c r="V229" s="1"/>
      <c r="W229" s="1"/>
      <c r="AB229"/>
      <c r="AC229"/>
      <c r="AD229"/>
      <c r="AE229"/>
      <c r="AF229"/>
      <c r="AG229"/>
      <c r="AH229"/>
      <c r="AI229"/>
    </row>
    <row r="230" spans="2:35" s="125" customFormat="1" ht="16" thickBot="1" x14ac:dyDescent="0.4">
      <c r="B230" s="124"/>
      <c r="F230" s="270"/>
      <c r="G230" s="271"/>
    </row>
    <row r="231" spans="2:35" ht="16" thickBot="1" x14ac:dyDescent="0.4">
      <c r="B231" s="12" t="s">
        <v>275</v>
      </c>
      <c r="C231" s="1"/>
      <c r="D231" s="1"/>
      <c r="E231" s="1"/>
      <c r="F231" s="255">
        <f>F100</f>
        <v>40.073999999999998</v>
      </c>
      <c r="G231" s="156" t="s">
        <v>171</v>
      </c>
      <c r="H231" s="1"/>
      <c r="I231" s="1"/>
      <c r="Q231" s="1"/>
      <c r="R231" s="1"/>
      <c r="S231" s="1"/>
      <c r="T231" s="1"/>
      <c r="U231" s="1"/>
      <c r="V231" s="1"/>
      <c r="W231" s="1"/>
      <c r="AB231"/>
      <c r="AC231"/>
      <c r="AD231"/>
      <c r="AE231"/>
      <c r="AF231"/>
      <c r="AG231"/>
      <c r="AH231"/>
      <c r="AI231"/>
    </row>
    <row r="232" spans="2:35" ht="16" thickBot="1" x14ac:dyDescent="0.4">
      <c r="B232" s="12" t="s">
        <v>276</v>
      </c>
      <c r="C232" s="1"/>
      <c r="D232" s="1"/>
      <c r="E232" s="1"/>
      <c r="F232" s="269">
        <f>F231*365*F224</f>
        <v>102389.06999999999</v>
      </c>
      <c r="G232" s="161" t="s">
        <v>171</v>
      </c>
      <c r="H232" s="1"/>
      <c r="I232" s="1"/>
      <c r="Q232" s="1"/>
      <c r="R232" s="1"/>
      <c r="S232" s="1"/>
      <c r="T232" s="1"/>
      <c r="U232" s="1"/>
      <c r="V232" s="1"/>
      <c r="W232" s="1"/>
      <c r="AB232"/>
      <c r="AC232"/>
      <c r="AD232"/>
      <c r="AE232"/>
      <c r="AF232"/>
      <c r="AG232"/>
      <c r="AH232"/>
      <c r="AI232"/>
    </row>
    <row r="233" spans="2:35" ht="16" thickBot="1" x14ac:dyDescent="0.4">
      <c r="B233" s="12" t="s">
        <v>280</v>
      </c>
      <c r="C233" s="1"/>
      <c r="D233" s="1"/>
      <c r="E233" s="1"/>
      <c r="F233" s="274">
        <f>((H17*Q17)/E17)*1.5</f>
        <v>1.9681199999999996E-2</v>
      </c>
      <c r="G233" s="161" t="s">
        <v>171</v>
      </c>
      <c r="H233" s="1"/>
      <c r="I233" s="1"/>
      <c r="Q233" s="1"/>
      <c r="R233" s="1"/>
      <c r="S233" s="1"/>
      <c r="T233" s="1"/>
      <c r="U233" s="1"/>
      <c r="V233" s="1"/>
      <c r="W233" s="1"/>
      <c r="AB233"/>
      <c r="AC233"/>
      <c r="AD233"/>
      <c r="AE233"/>
      <c r="AF233"/>
      <c r="AG233"/>
      <c r="AH233"/>
      <c r="AI233"/>
    </row>
    <row r="234" spans="2:35" ht="16" thickBot="1" x14ac:dyDescent="0.4">
      <c r="B234" s="12" t="s">
        <v>281</v>
      </c>
      <c r="C234" s="1"/>
      <c r="D234" s="1"/>
      <c r="E234" s="1"/>
      <c r="F234" s="274">
        <f>((H19*Q19)/E19)*1.5</f>
        <v>3.0800000000000001E-2</v>
      </c>
      <c r="G234" s="161" t="s">
        <v>171</v>
      </c>
      <c r="H234" s="1"/>
      <c r="I234" s="1"/>
      <c r="Q234" s="1"/>
      <c r="R234" s="1"/>
      <c r="S234" s="1"/>
      <c r="T234" s="1"/>
      <c r="U234" s="1"/>
      <c r="V234" s="1"/>
      <c r="W234" s="1"/>
      <c r="AB234"/>
      <c r="AC234"/>
      <c r="AD234"/>
      <c r="AE234"/>
      <c r="AF234"/>
      <c r="AG234"/>
      <c r="AH234"/>
      <c r="AI234"/>
    </row>
    <row r="235" spans="2:35" ht="16" thickBot="1" x14ac:dyDescent="0.4">
      <c r="B235" s="12" t="s">
        <v>282</v>
      </c>
      <c r="C235" s="1"/>
      <c r="D235" s="1"/>
      <c r="E235" s="1"/>
      <c r="F235" s="274">
        <f>((H21*Q21)/E21)*1.5</f>
        <v>5.2499999999999986E-4</v>
      </c>
      <c r="G235" s="161" t="s">
        <v>171</v>
      </c>
      <c r="H235" s="1"/>
      <c r="I235" s="1"/>
      <c r="Q235" s="1"/>
      <c r="R235" s="1"/>
      <c r="S235" s="1"/>
      <c r="T235" s="1"/>
      <c r="U235" s="1"/>
      <c r="V235" s="1"/>
      <c r="W235" s="1"/>
      <c r="AB235"/>
      <c r="AC235"/>
      <c r="AD235"/>
      <c r="AE235"/>
      <c r="AF235"/>
      <c r="AG235"/>
      <c r="AH235"/>
      <c r="AI235"/>
    </row>
    <row r="236" spans="2:35" s="125" customFormat="1" ht="16" thickBot="1" x14ac:dyDescent="0.4">
      <c r="B236" s="124"/>
      <c r="F236" s="277"/>
      <c r="G236" s="271"/>
    </row>
    <row r="237" spans="2:35" s="125" customFormat="1" ht="16" thickBot="1" x14ac:dyDescent="0.4">
      <c r="B237" s="124" t="s">
        <v>311</v>
      </c>
      <c r="F237" s="272">
        <f>(N17+N19+N21)*30</f>
        <v>420</v>
      </c>
      <c r="G237" s="161" t="s">
        <v>302</v>
      </c>
    </row>
    <row r="238" spans="2:35" ht="16" thickBot="1" x14ac:dyDescent="0.4">
      <c r="B238" s="12" t="s">
        <v>289</v>
      </c>
      <c r="C238" s="1"/>
      <c r="D238" s="1"/>
      <c r="E238" s="1"/>
      <c r="F238" s="272">
        <f>3600/250</f>
        <v>14.4</v>
      </c>
      <c r="G238" s="161" t="s">
        <v>292</v>
      </c>
      <c r="H238" s="1"/>
      <c r="I238" s="1"/>
      <c r="Q238" s="1"/>
      <c r="R238" s="1"/>
      <c r="S238" s="1"/>
      <c r="T238" s="1"/>
      <c r="U238" s="1"/>
      <c r="V238" s="1"/>
      <c r="W238" s="1"/>
      <c r="AB238"/>
      <c r="AC238"/>
      <c r="AD238"/>
      <c r="AE238"/>
      <c r="AF238"/>
      <c r="AG238"/>
      <c r="AH238"/>
      <c r="AI238"/>
    </row>
    <row r="239" spans="2:35" ht="16" thickBot="1" x14ac:dyDescent="0.4">
      <c r="B239" s="12" t="s">
        <v>290</v>
      </c>
      <c r="C239" s="1"/>
      <c r="D239" s="1"/>
      <c r="E239" s="1"/>
      <c r="F239" s="269">
        <f>3600/150</f>
        <v>24</v>
      </c>
      <c r="G239" s="161" t="s">
        <v>292</v>
      </c>
      <c r="H239" s="1"/>
      <c r="I239" s="1"/>
      <c r="Q239" s="1"/>
      <c r="R239" s="1"/>
      <c r="S239" s="1"/>
      <c r="T239" s="1"/>
      <c r="U239" s="1"/>
      <c r="V239" s="1"/>
      <c r="W239" s="1"/>
      <c r="AB239"/>
      <c r="AC239"/>
      <c r="AD239"/>
      <c r="AE239"/>
      <c r="AF239"/>
      <c r="AG239"/>
      <c r="AH239"/>
      <c r="AI239"/>
    </row>
    <row r="240" spans="2:35" ht="16" thickBot="1" x14ac:dyDescent="0.4">
      <c r="B240" s="12" t="s">
        <v>291</v>
      </c>
      <c r="C240" s="1"/>
      <c r="D240" s="1"/>
      <c r="E240" s="1"/>
      <c r="F240" s="272">
        <f>3600/800</f>
        <v>4.5</v>
      </c>
      <c r="G240" s="161" t="s">
        <v>292</v>
      </c>
      <c r="H240" s="1"/>
      <c r="I240" s="1"/>
      <c r="Q240" s="1"/>
      <c r="R240" s="1"/>
      <c r="S240" s="1"/>
      <c r="T240" s="1"/>
      <c r="U240" s="1"/>
      <c r="V240" s="1"/>
      <c r="W240" s="1"/>
      <c r="AB240"/>
      <c r="AC240"/>
      <c r="AD240"/>
      <c r="AE240"/>
      <c r="AF240"/>
      <c r="AG240"/>
      <c r="AH240"/>
      <c r="AI240"/>
    </row>
    <row r="241" spans="1:35" ht="16" thickBot="1" x14ac:dyDescent="0.4">
      <c r="B241" s="1"/>
      <c r="C241" s="1"/>
      <c r="D241" s="1"/>
      <c r="E241" s="1"/>
      <c r="F241" s="1"/>
      <c r="G241" s="1"/>
      <c r="H241" s="1"/>
      <c r="I241" s="1"/>
      <c r="Q241" s="1"/>
      <c r="R241" s="1"/>
      <c r="S241" s="1"/>
      <c r="T241" s="1"/>
      <c r="U241" s="1"/>
      <c r="V241" s="1"/>
      <c r="W241" s="1"/>
      <c r="AB241"/>
      <c r="AC241"/>
      <c r="AD241"/>
      <c r="AE241"/>
      <c r="AF241"/>
      <c r="AG241"/>
      <c r="AH241"/>
      <c r="AI241"/>
    </row>
    <row r="242" spans="1:35" ht="16" thickBot="1" x14ac:dyDescent="0.4">
      <c r="B242" s="12" t="s">
        <v>287</v>
      </c>
      <c r="C242" s="1"/>
      <c r="D242" s="1"/>
      <c r="E242" s="1"/>
      <c r="F242" s="292">
        <f>SUM(F227:F228)/F232</f>
        <v>225.22679140218915</v>
      </c>
      <c r="G242" s="161" t="s">
        <v>96</v>
      </c>
      <c r="H242" s="1"/>
      <c r="I242" s="1"/>
      <c r="Q242" s="1"/>
      <c r="R242" s="1"/>
      <c r="S242" s="1"/>
      <c r="T242" s="1"/>
      <c r="U242" s="1"/>
      <c r="V242" s="1"/>
      <c r="W242" s="1"/>
      <c r="AB242"/>
      <c r="AC242"/>
      <c r="AD242"/>
      <c r="AE242"/>
      <c r="AF242"/>
      <c r="AG242"/>
      <c r="AH242"/>
      <c r="AI242"/>
    </row>
    <row r="243" spans="1:35" ht="16" thickBot="1" x14ac:dyDescent="0.4">
      <c r="B243" s="12" t="s">
        <v>288</v>
      </c>
      <c r="C243" s="1"/>
      <c r="D243" s="1"/>
      <c r="E243" s="1"/>
      <c r="F243" s="292">
        <f>SUM(F227:F229)/F232</f>
        <v>315.1530572949581</v>
      </c>
      <c r="G243" s="161" t="s">
        <v>96</v>
      </c>
      <c r="H243" s="1"/>
      <c r="I243" s="1"/>
      <c r="Q243" s="1"/>
      <c r="R243" s="1"/>
      <c r="S243" s="1"/>
      <c r="T243" s="1"/>
      <c r="U243" s="1"/>
      <c r="V243" s="1"/>
      <c r="W243" s="1"/>
      <c r="AB243"/>
      <c r="AC243"/>
      <c r="AD243"/>
      <c r="AE243"/>
      <c r="AF243"/>
      <c r="AG243"/>
      <c r="AH243"/>
      <c r="AI243"/>
    </row>
    <row r="244" spans="1:35" ht="16" thickBot="1" x14ac:dyDescent="0.4">
      <c r="B244" s="12" t="s">
        <v>279</v>
      </c>
      <c r="C244" s="1"/>
      <c r="D244" s="1"/>
      <c r="E244" s="1"/>
      <c r="F244" s="269">
        <f>F233*F242</f>
        <v>4.4327335269447641</v>
      </c>
      <c r="G244" s="161" t="s">
        <v>96</v>
      </c>
      <c r="H244" s="1"/>
      <c r="I244" s="1"/>
      <c r="Q244" s="1"/>
      <c r="R244" s="1"/>
      <c r="S244" s="1"/>
      <c r="T244" s="1"/>
      <c r="U244" s="1"/>
      <c r="V244" s="1"/>
      <c r="W244" s="1"/>
      <c r="AB244"/>
      <c r="AC244"/>
      <c r="AD244"/>
      <c r="AE244"/>
      <c r="AF244"/>
      <c r="AG244"/>
      <c r="AH244"/>
      <c r="AI244"/>
    </row>
    <row r="245" spans="1:35" ht="16" thickBot="1" x14ac:dyDescent="0.4">
      <c r="B245" s="12" t="s">
        <v>277</v>
      </c>
      <c r="C245" s="1"/>
      <c r="D245" s="1"/>
      <c r="E245" s="1"/>
      <c r="F245" s="269">
        <f>F234*F242</f>
        <v>6.9369851751874263</v>
      </c>
      <c r="G245" s="161" t="s">
        <v>96</v>
      </c>
      <c r="H245" s="1"/>
      <c r="I245" s="125"/>
      <c r="J245" s="125"/>
      <c r="K245" s="125"/>
      <c r="L245" s="125"/>
      <c r="M245" s="125"/>
      <c r="N245" s="125"/>
      <c r="Q245" s="1"/>
      <c r="R245" s="1"/>
      <c r="S245" s="1"/>
      <c r="T245" s="1"/>
      <c r="U245" s="1"/>
      <c r="V245" s="1"/>
      <c r="W245" s="1"/>
      <c r="AB245"/>
      <c r="AC245"/>
      <c r="AD245"/>
      <c r="AE245"/>
      <c r="AF245"/>
      <c r="AG245"/>
      <c r="AH245"/>
      <c r="AI245"/>
    </row>
    <row r="246" spans="1:35" ht="16" thickBot="1" x14ac:dyDescent="0.4">
      <c r="B246" s="12" t="s">
        <v>278</v>
      </c>
      <c r="C246" s="1"/>
      <c r="D246" s="1"/>
      <c r="E246" s="1"/>
      <c r="F246" s="273">
        <f>F235*F242</f>
        <v>0.11824406548614927</v>
      </c>
      <c r="G246" s="161" t="s">
        <v>96</v>
      </c>
      <c r="H246" s="1"/>
      <c r="I246" s="125"/>
      <c r="J246" s="125"/>
      <c r="K246" s="125"/>
      <c r="L246" s="125"/>
      <c r="M246" s="125"/>
      <c r="N246" s="125"/>
      <c r="Q246" s="1"/>
      <c r="R246" s="1"/>
      <c r="S246" s="1"/>
      <c r="T246" s="1"/>
      <c r="U246" s="1"/>
      <c r="V246" s="1"/>
      <c r="W246" s="1"/>
      <c r="AB246"/>
      <c r="AC246"/>
      <c r="AD246"/>
      <c r="AE246"/>
      <c r="AF246"/>
      <c r="AG246"/>
      <c r="AH246"/>
      <c r="AI246"/>
    </row>
    <row r="247" spans="1:35" ht="16" thickBot="1" x14ac:dyDescent="0.4">
      <c r="B247" s="1"/>
      <c r="C247" s="1"/>
      <c r="D247" s="1"/>
      <c r="E247" s="1"/>
      <c r="F247" s="1"/>
      <c r="G247" s="1"/>
      <c r="H247" s="1"/>
      <c r="I247" s="125"/>
      <c r="J247" s="125"/>
      <c r="K247" s="125"/>
      <c r="L247" s="125"/>
      <c r="M247" s="125"/>
      <c r="N247" s="125"/>
      <c r="Q247" s="1"/>
      <c r="R247" s="1"/>
      <c r="S247" s="1"/>
      <c r="T247" s="1"/>
      <c r="U247" s="1"/>
      <c r="V247" s="1"/>
      <c r="W247" s="1"/>
      <c r="AB247"/>
      <c r="AC247"/>
      <c r="AD247"/>
      <c r="AE247"/>
      <c r="AF247"/>
      <c r="AG247"/>
      <c r="AH247"/>
      <c r="AI247"/>
    </row>
    <row r="248" spans="1:35" ht="28.5" x14ac:dyDescent="0.65">
      <c r="B248" s="229"/>
      <c r="C248" s="126"/>
      <c r="D248" s="126"/>
      <c r="E248" s="281" t="s">
        <v>310</v>
      </c>
      <c r="F248" s="234"/>
      <c r="G248" s="234"/>
      <c r="H248" s="263"/>
      <c r="I248" s="125"/>
      <c r="J248" s="125"/>
      <c r="K248" s="125"/>
      <c r="L248" s="125"/>
      <c r="M248" s="125"/>
      <c r="N248" s="125"/>
      <c r="Q248" s="1"/>
      <c r="R248" s="1"/>
      <c r="S248" s="1"/>
      <c r="T248" s="1"/>
      <c r="U248" s="1"/>
      <c r="V248" s="1"/>
      <c r="W248" s="1"/>
      <c r="AB248"/>
      <c r="AC248"/>
      <c r="AD248"/>
      <c r="AE248"/>
      <c r="AF248"/>
      <c r="AG248"/>
      <c r="AH248"/>
      <c r="AI248"/>
    </row>
    <row r="249" spans="1:35" ht="28.5" x14ac:dyDescent="0.65">
      <c r="B249" s="235" t="s">
        <v>260</v>
      </c>
      <c r="C249" s="125"/>
      <c r="D249" s="125"/>
      <c r="E249" s="232"/>
      <c r="F249" s="232"/>
      <c r="G249" s="232"/>
      <c r="H249" s="246"/>
      <c r="I249" s="125"/>
      <c r="J249" s="125"/>
      <c r="K249" s="125"/>
      <c r="L249" s="125"/>
      <c r="M249" s="125"/>
      <c r="N249" s="125"/>
      <c r="Q249" s="1"/>
      <c r="R249" s="1"/>
      <c r="S249" s="1"/>
      <c r="T249" s="1"/>
      <c r="U249" s="1"/>
      <c r="V249" s="1"/>
      <c r="W249" s="1"/>
      <c r="AB249"/>
      <c r="AC249"/>
      <c r="AD249"/>
      <c r="AE249"/>
      <c r="AF249"/>
      <c r="AG249"/>
      <c r="AH249"/>
      <c r="AI249"/>
    </row>
    <row r="250" spans="1:35" ht="29" thickBot="1" x14ac:dyDescent="0.7">
      <c r="B250" s="235"/>
      <c r="C250" s="125"/>
      <c r="D250" s="125"/>
      <c r="E250" s="232"/>
      <c r="F250" s="233"/>
      <c r="G250" s="239"/>
      <c r="H250" s="246"/>
      <c r="I250" s="125"/>
      <c r="J250" s="125"/>
      <c r="K250" s="125"/>
      <c r="L250" s="125"/>
      <c r="M250" s="125"/>
      <c r="N250" s="125"/>
      <c r="Q250" s="1"/>
      <c r="R250" s="1"/>
      <c r="S250" s="1"/>
      <c r="T250" s="1"/>
      <c r="U250" s="1"/>
      <c r="V250" s="1"/>
      <c r="W250" s="1"/>
      <c r="AB250"/>
      <c r="AC250"/>
      <c r="AD250"/>
      <c r="AE250"/>
      <c r="AF250"/>
      <c r="AG250"/>
      <c r="AH250"/>
      <c r="AI250"/>
    </row>
    <row r="251" spans="1:35" ht="26.5" thickBot="1" x14ac:dyDescent="0.65">
      <c r="B251" s="240" t="s">
        <v>261</v>
      </c>
      <c r="C251" s="238" t="s">
        <v>262</v>
      </c>
      <c r="D251" s="237"/>
      <c r="E251" s="232"/>
      <c r="F251" s="232"/>
      <c r="G251" s="232"/>
      <c r="H251" s="246"/>
      <c r="I251" s="125"/>
      <c r="J251" s="125"/>
      <c r="K251" s="125"/>
      <c r="L251" s="125"/>
      <c r="M251" s="125"/>
      <c r="N251" s="125"/>
      <c r="Q251" s="1"/>
      <c r="R251" s="1"/>
      <c r="S251" s="1"/>
      <c r="T251" s="1"/>
      <c r="U251" s="1"/>
      <c r="V251" s="1"/>
      <c r="W251" s="1"/>
      <c r="AB251"/>
      <c r="AC251"/>
      <c r="AD251"/>
      <c r="AE251"/>
      <c r="AF251"/>
      <c r="AG251"/>
      <c r="AH251"/>
      <c r="AI251"/>
    </row>
    <row r="252" spans="1:35" x14ac:dyDescent="0.35">
      <c r="B252" s="127"/>
      <c r="C252" s="125"/>
      <c r="D252" s="125"/>
      <c r="E252" s="232"/>
      <c r="F252" s="232"/>
      <c r="G252" s="232"/>
      <c r="H252" s="246"/>
      <c r="I252" s="125"/>
      <c r="J252" s="125"/>
      <c r="K252" s="125"/>
      <c r="L252" s="125"/>
      <c r="M252" s="125"/>
      <c r="N252" s="125"/>
      <c r="Q252" s="1"/>
      <c r="R252" s="1"/>
      <c r="S252" s="1"/>
      <c r="T252" s="1"/>
      <c r="U252" s="1"/>
      <c r="V252" s="1"/>
      <c r="W252" s="1"/>
      <c r="AB252"/>
      <c r="AC252"/>
      <c r="AD252"/>
      <c r="AE252"/>
      <c r="AF252"/>
      <c r="AG252"/>
      <c r="AH252"/>
      <c r="AI252"/>
    </row>
    <row r="253" spans="1:35" ht="16" thickBot="1" x14ac:dyDescent="0.4">
      <c r="B253" s="129"/>
      <c r="C253" s="130"/>
      <c r="D253" s="130"/>
      <c r="E253" s="241"/>
      <c r="F253" s="241"/>
      <c r="G253" s="241"/>
      <c r="H253" s="248"/>
      <c r="I253" s="125"/>
      <c r="J253" s="125"/>
      <c r="K253" s="125"/>
      <c r="L253" s="125"/>
      <c r="M253" s="125"/>
      <c r="N253" s="125"/>
      <c r="Q253" s="1"/>
      <c r="R253" s="1"/>
      <c r="S253" s="1"/>
      <c r="T253" s="1"/>
      <c r="U253" s="1"/>
      <c r="V253" s="1"/>
      <c r="W253" s="1"/>
      <c r="AB253"/>
      <c r="AC253"/>
      <c r="AD253"/>
      <c r="AE253"/>
      <c r="AF253"/>
      <c r="AG253"/>
      <c r="AH253"/>
      <c r="AI253"/>
    </row>
    <row r="254" spans="1:35" x14ac:dyDescent="0.35">
      <c r="B254" s="245"/>
      <c r="C254" s="232"/>
      <c r="D254" s="232"/>
      <c r="E254" s="262"/>
      <c r="F254" s="234"/>
      <c r="G254" s="234"/>
      <c r="H254" s="263"/>
      <c r="I254" s="125"/>
      <c r="J254" s="125"/>
      <c r="K254" s="125"/>
      <c r="L254" s="125"/>
      <c r="M254" s="125"/>
      <c r="N254" s="125"/>
      <c r="Q254" s="1"/>
      <c r="R254" s="1"/>
      <c r="S254" s="1"/>
      <c r="T254" s="1"/>
      <c r="U254" s="1"/>
      <c r="V254" s="1"/>
      <c r="W254" s="1"/>
      <c r="AB254"/>
      <c r="AC254"/>
      <c r="AD254"/>
      <c r="AE254"/>
      <c r="AF254"/>
      <c r="AG254"/>
      <c r="AH254"/>
      <c r="AI254"/>
    </row>
    <row r="255" spans="1:35" s="244" customFormat="1" ht="23.5" x14ac:dyDescent="0.55000000000000004">
      <c r="A255" s="243"/>
      <c r="B255" s="352" t="s">
        <v>263</v>
      </c>
      <c r="C255" s="353"/>
      <c r="D255" s="353"/>
      <c r="E255" s="352" t="s">
        <v>264</v>
      </c>
      <c r="F255" s="353"/>
      <c r="G255" s="353"/>
      <c r="H255" s="354"/>
      <c r="I255" s="355"/>
      <c r="J255" s="355"/>
      <c r="K255" s="355"/>
      <c r="L255" s="231"/>
      <c r="M255" s="231"/>
      <c r="N255" s="231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</row>
    <row r="256" spans="1:35" ht="16" thickBot="1" x14ac:dyDescent="0.4">
      <c r="B256" s="247"/>
      <c r="C256" s="241"/>
      <c r="D256" s="241"/>
      <c r="E256" s="247"/>
      <c r="F256" s="241"/>
      <c r="G256" s="241"/>
      <c r="H256" s="248"/>
      <c r="I256" s="125"/>
      <c r="J256" s="125"/>
      <c r="K256" s="125"/>
      <c r="L256" s="125"/>
      <c r="M256" s="125"/>
      <c r="N256" s="125"/>
      <c r="Q256" s="1"/>
      <c r="R256" s="1"/>
      <c r="S256" s="1"/>
      <c r="T256" s="1"/>
      <c r="U256" s="1"/>
      <c r="V256" s="1"/>
      <c r="W256" s="1"/>
      <c r="AB256"/>
      <c r="AC256"/>
      <c r="AD256"/>
      <c r="AE256"/>
      <c r="AF256"/>
      <c r="AG256"/>
      <c r="AH256"/>
      <c r="AI256"/>
    </row>
    <row r="257" spans="2:35" ht="18.5" x14ac:dyDescent="0.45">
      <c r="B257" s="236"/>
      <c r="C257" s="230"/>
      <c r="D257" s="276"/>
      <c r="E257" s="230"/>
      <c r="F257" s="230"/>
      <c r="G257" s="230"/>
      <c r="H257" s="250"/>
      <c r="I257" s="230"/>
      <c r="J257" s="230"/>
      <c r="K257" s="230"/>
      <c r="L257" s="125"/>
      <c r="M257" s="125"/>
      <c r="N257" s="125"/>
      <c r="Q257" s="1"/>
      <c r="R257" s="1"/>
      <c r="S257" s="1"/>
      <c r="T257" s="1"/>
      <c r="U257" s="1"/>
      <c r="V257" s="1"/>
      <c r="W257" s="1"/>
      <c r="AB257"/>
      <c r="AC257"/>
      <c r="AD257"/>
      <c r="AE257"/>
      <c r="AF257"/>
      <c r="AG257"/>
      <c r="AH257"/>
      <c r="AI257"/>
    </row>
    <row r="258" spans="2:35" ht="21" x14ac:dyDescent="0.5">
      <c r="B258" s="236"/>
      <c r="C258" s="230"/>
      <c r="D258" s="249"/>
      <c r="E258" s="125"/>
      <c r="F258" s="231" t="s">
        <v>274</v>
      </c>
      <c r="G258" s="125"/>
      <c r="H258" s="128"/>
      <c r="I258" s="230"/>
      <c r="J258" s="230"/>
      <c r="K258" s="230"/>
      <c r="L258" s="125"/>
      <c r="M258" s="125"/>
      <c r="N258" s="125"/>
      <c r="Q258" s="1"/>
      <c r="R258" s="1"/>
      <c r="S258" s="1"/>
      <c r="T258" s="1"/>
      <c r="U258" s="1"/>
      <c r="V258" s="1"/>
      <c r="W258" s="1"/>
      <c r="AB258"/>
      <c r="AC258"/>
      <c r="AD258"/>
      <c r="AE258"/>
      <c r="AF258"/>
      <c r="AG258"/>
      <c r="AH258"/>
      <c r="AI258"/>
    </row>
    <row r="259" spans="2:35" ht="20.65" customHeight="1" x14ac:dyDescent="0.45">
      <c r="B259" s="236" t="s">
        <v>265</v>
      </c>
      <c r="C259" s="288">
        <f>F224</f>
        <v>7</v>
      </c>
      <c r="D259" s="249" t="s">
        <v>168</v>
      </c>
      <c r="E259" s="230" t="s">
        <v>295</v>
      </c>
      <c r="F259" s="230"/>
      <c r="G259" s="283">
        <v>800</v>
      </c>
      <c r="H259" s="250" t="s">
        <v>208</v>
      </c>
      <c r="I259" s="283"/>
      <c r="J259" s="125"/>
      <c r="K259" s="230"/>
      <c r="L259" s="230"/>
      <c r="M259" s="125"/>
      <c r="N259" s="125"/>
      <c r="Q259" s="1"/>
      <c r="R259" s="1"/>
      <c r="S259" s="1"/>
      <c r="T259" s="1"/>
      <c r="U259" s="1"/>
      <c r="V259" s="1"/>
      <c r="W259" s="1"/>
      <c r="AB259"/>
      <c r="AC259"/>
      <c r="AD259"/>
      <c r="AE259"/>
      <c r="AF259"/>
      <c r="AG259"/>
      <c r="AH259"/>
      <c r="AI259"/>
    </row>
    <row r="260" spans="2:35" ht="18.5" x14ac:dyDescent="0.45">
      <c r="B260" s="236"/>
      <c r="C260" s="230"/>
      <c r="D260" s="249"/>
      <c r="E260" s="230" t="s">
        <v>297</v>
      </c>
      <c r="F260" s="230"/>
      <c r="G260" s="283">
        <f>G259*F233</f>
        <v>15.744959999999997</v>
      </c>
      <c r="H260" s="250" t="s">
        <v>171</v>
      </c>
      <c r="I260" s="230"/>
      <c r="J260" s="125"/>
      <c r="K260" s="125"/>
      <c r="L260" s="125"/>
      <c r="M260" s="125"/>
      <c r="N260" s="125"/>
      <c r="Q260" s="1"/>
      <c r="R260" s="1"/>
      <c r="S260" s="1"/>
      <c r="T260" s="1"/>
      <c r="U260" s="1"/>
      <c r="V260" s="1"/>
      <c r="W260" s="1"/>
      <c r="AB260"/>
      <c r="AC260"/>
      <c r="AD260"/>
      <c r="AE260"/>
      <c r="AF260"/>
      <c r="AG260"/>
      <c r="AH260"/>
      <c r="AI260"/>
    </row>
    <row r="261" spans="2:35" ht="23.65" customHeight="1" x14ac:dyDescent="0.45">
      <c r="B261" s="236" t="s">
        <v>308</v>
      </c>
      <c r="C261" s="230"/>
      <c r="D261" s="249"/>
      <c r="E261" s="284" t="s">
        <v>303</v>
      </c>
      <c r="F261" s="284"/>
      <c r="G261" s="294">
        <f>G259*F238/3600*2</f>
        <v>6.4</v>
      </c>
      <c r="H261" s="286" t="s">
        <v>302</v>
      </c>
      <c r="I261" s="278"/>
      <c r="J261" s="125"/>
      <c r="K261" s="125"/>
      <c r="L261" s="125"/>
      <c r="M261" s="125"/>
      <c r="N261" s="125"/>
      <c r="Q261" s="1"/>
      <c r="R261" s="1"/>
      <c r="S261" s="1"/>
      <c r="T261" s="1"/>
      <c r="U261" s="1"/>
      <c r="V261" s="1"/>
      <c r="W261" s="1"/>
      <c r="AB261"/>
      <c r="AC261"/>
      <c r="AD261"/>
      <c r="AE261"/>
      <c r="AF261"/>
      <c r="AG261"/>
      <c r="AH261"/>
      <c r="AI261"/>
    </row>
    <row r="262" spans="2:35" ht="18.5" x14ac:dyDescent="0.45">
      <c r="B262" s="236" t="s">
        <v>309</v>
      </c>
      <c r="C262" s="256">
        <f>(F227+F228)/(F225+F226)</f>
        <v>0.51086785211159913</v>
      </c>
      <c r="D262" s="249"/>
      <c r="E262" s="230" t="s">
        <v>296</v>
      </c>
      <c r="F262" s="230"/>
      <c r="G262" s="283">
        <f>F244</f>
        <v>4.4327335269447641</v>
      </c>
      <c r="H262" s="250" t="s">
        <v>96</v>
      </c>
      <c r="I262" s="125"/>
      <c r="J262" s="125"/>
      <c r="K262" s="125"/>
      <c r="L262" s="125"/>
      <c r="M262" s="125"/>
      <c r="N262" s="125"/>
      <c r="Q262" s="1"/>
      <c r="R262" s="1"/>
      <c r="S262" s="1"/>
      <c r="T262" s="1"/>
      <c r="U262" s="1"/>
      <c r="V262" s="1"/>
      <c r="W262" s="1"/>
      <c r="AB262"/>
      <c r="AC262"/>
      <c r="AD262"/>
      <c r="AE262"/>
      <c r="AF262"/>
      <c r="AG262"/>
      <c r="AH262"/>
      <c r="AI262"/>
    </row>
    <row r="263" spans="2:35" ht="18.5" x14ac:dyDescent="0.45">
      <c r="B263" s="236"/>
      <c r="C263" s="230"/>
      <c r="D263" s="249"/>
      <c r="E263" s="230" t="s">
        <v>283</v>
      </c>
      <c r="F263" s="230"/>
      <c r="G263" s="283">
        <f>G262*G259</f>
        <v>3546.1868215558111</v>
      </c>
      <c r="H263" s="250" t="s">
        <v>96</v>
      </c>
      <c r="I263" s="230"/>
      <c r="J263" s="230"/>
      <c r="K263" s="257"/>
      <c r="L263" s="125"/>
      <c r="M263" s="125"/>
      <c r="N263" s="125"/>
      <c r="Q263" s="1"/>
      <c r="R263" s="1"/>
      <c r="S263" s="1"/>
      <c r="T263" s="1"/>
      <c r="U263" s="1"/>
      <c r="V263" s="1"/>
      <c r="W263" s="1"/>
      <c r="AB263"/>
      <c r="AC263"/>
      <c r="AD263"/>
      <c r="AE263"/>
      <c r="AF263"/>
      <c r="AG263"/>
      <c r="AH263"/>
      <c r="AI263"/>
    </row>
    <row r="264" spans="2:35" ht="21" x14ac:dyDescent="0.5">
      <c r="B264" s="236" t="s">
        <v>268</v>
      </c>
      <c r="C264" s="230"/>
      <c r="D264" s="249"/>
      <c r="E264" s="230"/>
      <c r="F264" s="231" t="s">
        <v>284</v>
      </c>
      <c r="G264" s="283"/>
      <c r="H264" s="250"/>
      <c r="I264" s="230"/>
      <c r="J264" s="125"/>
      <c r="K264" s="267"/>
      <c r="L264" s="133"/>
      <c r="M264" s="242"/>
      <c r="N264" s="125"/>
      <c r="Q264" s="1"/>
      <c r="R264" s="1"/>
      <c r="S264" s="1"/>
      <c r="T264" s="1"/>
      <c r="U264" s="1"/>
      <c r="V264" s="1"/>
      <c r="W264" s="1"/>
      <c r="AB264"/>
      <c r="AC264"/>
      <c r="AD264"/>
      <c r="AE264"/>
      <c r="AF264"/>
      <c r="AG264"/>
      <c r="AH264"/>
      <c r="AI264"/>
    </row>
    <row r="265" spans="2:35" ht="18.5" x14ac:dyDescent="0.45">
      <c r="B265" s="236" t="s">
        <v>271</v>
      </c>
      <c r="C265" s="258">
        <f>SUM(F225:F226)/F224/12</f>
        <v>537385.30693257658</v>
      </c>
      <c r="D265" s="249" t="s">
        <v>96</v>
      </c>
      <c r="E265" s="230" t="s">
        <v>294</v>
      </c>
      <c r="F265" s="230"/>
      <c r="G265" s="283">
        <v>600</v>
      </c>
      <c r="H265" s="250" t="s">
        <v>208</v>
      </c>
      <c r="I265" s="279"/>
      <c r="J265" s="265"/>
      <c r="K265" s="268"/>
      <c r="L265" s="265"/>
      <c r="M265" s="266"/>
      <c r="N265" s="125"/>
      <c r="Q265" s="1"/>
      <c r="R265" s="1"/>
      <c r="S265" s="1"/>
      <c r="T265" s="1"/>
      <c r="U265" s="1"/>
      <c r="V265" s="1"/>
      <c r="W265" s="1"/>
      <c r="AB265"/>
      <c r="AC265"/>
      <c r="AD265"/>
      <c r="AE265"/>
      <c r="AF265"/>
      <c r="AG265"/>
      <c r="AH265"/>
      <c r="AI265"/>
    </row>
    <row r="266" spans="2:35" ht="18.5" x14ac:dyDescent="0.45">
      <c r="B266" s="236"/>
      <c r="C266" s="230"/>
      <c r="D266" s="249"/>
      <c r="E266" s="230" t="s">
        <v>298</v>
      </c>
      <c r="F266" s="230"/>
      <c r="G266" s="283">
        <f>G265*F234</f>
        <v>18.48</v>
      </c>
      <c r="H266" s="250" t="s">
        <v>171</v>
      </c>
      <c r="I266" s="264"/>
      <c r="J266" s="265"/>
      <c r="K266" s="266"/>
      <c r="L266" s="265"/>
      <c r="M266" s="266"/>
      <c r="N266" s="125"/>
      <c r="Q266" s="1"/>
      <c r="R266" s="1"/>
      <c r="S266" s="1"/>
      <c r="T266" s="1"/>
      <c r="U266" s="1"/>
      <c r="V266" s="1"/>
      <c r="W266" s="1"/>
      <c r="AB266"/>
      <c r="AC266"/>
      <c r="AD266"/>
      <c r="AE266"/>
      <c r="AF266"/>
      <c r="AG266"/>
      <c r="AH266"/>
      <c r="AI266"/>
    </row>
    <row r="267" spans="2:35" ht="18.5" x14ac:dyDescent="0.45">
      <c r="B267" s="127"/>
      <c r="C267" s="125"/>
      <c r="D267" s="228"/>
      <c r="E267" s="230" t="s">
        <v>304</v>
      </c>
      <c r="F267" s="284"/>
      <c r="G267" s="285">
        <f>G265*F239/3600*2</f>
        <v>8</v>
      </c>
      <c r="H267" s="250" t="s">
        <v>302</v>
      </c>
      <c r="I267" s="230"/>
      <c r="J267" s="230"/>
      <c r="K267" s="230"/>
      <c r="L267" s="125"/>
      <c r="M267" s="125"/>
      <c r="N267" s="125"/>
      <c r="Q267" s="1"/>
      <c r="R267" s="1"/>
      <c r="S267" s="1"/>
      <c r="T267" s="1"/>
      <c r="U267" s="1"/>
      <c r="V267" s="1"/>
      <c r="W267" s="1"/>
      <c r="AB267"/>
      <c r="AC267"/>
      <c r="AD267"/>
      <c r="AE267"/>
      <c r="AF267"/>
      <c r="AG267"/>
      <c r="AH267"/>
      <c r="AI267"/>
    </row>
    <row r="268" spans="2:35" ht="18.5" x14ac:dyDescent="0.45">
      <c r="B268" s="127"/>
      <c r="C268" s="125"/>
      <c r="D268" s="228"/>
      <c r="E268" s="230" t="s">
        <v>296</v>
      </c>
      <c r="F268" s="230"/>
      <c r="G268" s="283">
        <f>F245</f>
        <v>6.9369851751874263</v>
      </c>
      <c r="H268" s="250" t="s">
        <v>96</v>
      </c>
      <c r="I268" s="230"/>
      <c r="J268" s="230"/>
      <c r="K268" s="230"/>
      <c r="L268" s="125"/>
      <c r="M268" s="125"/>
      <c r="N268" s="125"/>
      <c r="Q268" s="1"/>
      <c r="R268" s="1"/>
      <c r="S268" s="1"/>
      <c r="T268" s="1"/>
      <c r="U268" s="1"/>
      <c r="V268" s="1"/>
      <c r="W268" s="1"/>
      <c r="AB268"/>
      <c r="AC268"/>
      <c r="AD268"/>
      <c r="AE268"/>
      <c r="AF268"/>
      <c r="AG268"/>
      <c r="AH268"/>
      <c r="AI268"/>
    </row>
    <row r="269" spans="2:35" ht="18.5" x14ac:dyDescent="0.45">
      <c r="B269" s="236"/>
      <c r="C269" s="230"/>
      <c r="D269" s="249"/>
      <c r="E269" s="230" t="s">
        <v>283</v>
      </c>
      <c r="F269" s="230"/>
      <c r="G269" s="283">
        <f>G265*G268</f>
        <v>4162.1911051124562</v>
      </c>
      <c r="H269" s="250" t="s">
        <v>96</v>
      </c>
      <c r="I269" s="230"/>
      <c r="J269" s="230"/>
      <c r="K269" s="230"/>
      <c r="L269" s="125"/>
      <c r="M269" s="125"/>
      <c r="N269" s="125"/>
      <c r="Q269" s="1"/>
      <c r="R269" s="1"/>
      <c r="S269" s="1"/>
      <c r="T269" s="1"/>
      <c r="U269" s="1"/>
      <c r="V269" s="1"/>
      <c r="W269" s="1"/>
      <c r="AB269"/>
      <c r="AC269"/>
      <c r="AD269"/>
      <c r="AE269"/>
      <c r="AF269"/>
      <c r="AG269"/>
      <c r="AH269"/>
      <c r="AI269"/>
    </row>
    <row r="270" spans="2:35" ht="21" x14ac:dyDescent="0.5">
      <c r="B270" s="236"/>
      <c r="C270" s="230"/>
      <c r="D270" s="249"/>
      <c r="E270" s="230"/>
      <c r="F270" s="231" t="s">
        <v>285</v>
      </c>
      <c r="G270" s="283"/>
      <c r="H270" s="250"/>
      <c r="I270" s="230"/>
      <c r="J270" s="230"/>
      <c r="K270" s="230"/>
      <c r="L270" s="125"/>
      <c r="M270" s="125"/>
      <c r="N270" s="125"/>
      <c r="Q270" s="1"/>
      <c r="R270" s="1"/>
      <c r="S270" s="1"/>
      <c r="T270" s="1"/>
      <c r="U270" s="1"/>
      <c r="V270" s="1"/>
      <c r="W270" s="1"/>
      <c r="AB270"/>
      <c r="AC270"/>
      <c r="AD270"/>
      <c r="AE270"/>
      <c r="AF270"/>
      <c r="AG270"/>
      <c r="AH270"/>
      <c r="AI270"/>
    </row>
    <row r="271" spans="2:35" ht="18.5" x14ac:dyDescent="0.45">
      <c r="B271" s="236"/>
      <c r="C271" s="230"/>
      <c r="D271" s="249"/>
      <c r="E271" s="230" t="s">
        <v>293</v>
      </c>
      <c r="F271" s="230"/>
      <c r="G271" s="283">
        <v>4000</v>
      </c>
      <c r="H271" s="250" t="s">
        <v>208</v>
      </c>
      <c r="I271" s="230"/>
      <c r="J271" s="125"/>
      <c r="K271" s="242"/>
      <c r="L271" s="242"/>
      <c r="M271" s="242"/>
      <c r="N271" s="125"/>
      <c r="Q271" s="1"/>
      <c r="R271" s="1"/>
      <c r="S271" s="1"/>
      <c r="T271" s="1"/>
      <c r="U271" s="1"/>
      <c r="V271" s="1"/>
      <c r="W271" s="1"/>
      <c r="AB271"/>
      <c r="AC271"/>
      <c r="AD271"/>
      <c r="AE271"/>
      <c r="AF271"/>
      <c r="AG271"/>
      <c r="AH271"/>
      <c r="AI271"/>
    </row>
    <row r="272" spans="2:35" ht="18.5" x14ac:dyDescent="0.45">
      <c r="B272" s="236"/>
      <c r="C272" s="230"/>
      <c r="D272" s="249"/>
      <c r="E272" s="230" t="s">
        <v>299</v>
      </c>
      <c r="F272" s="230"/>
      <c r="G272" s="283">
        <f>G271*F235</f>
        <v>2.0999999999999996</v>
      </c>
      <c r="H272" s="250" t="s">
        <v>171</v>
      </c>
      <c r="I272" s="351"/>
      <c r="J272" s="265"/>
      <c r="K272" s="266"/>
      <c r="L272" s="266"/>
      <c r="M272" s="266"/>
      <c r="N272" s="125"/>
      <c r="Q272" s="1"/>
      <c r="R272" s="1"/>
      <c r="S272" s="1"/>
      <c r="T272" s="1"/>
      <c r="U272" s="1"/>
      <c r="V272" s="1"/>
      <c r="W272" s="1"/>
      <c r="AB272"/>
      <c r="AC272"/>
      <c r="AD272"/>
      <c r="AE272"/>
      <c r="AF272"/>
      <c r="AG272"/>
      <c r="AH272"/>
      <c r="AI272"/>
    </row>
    <row r="273" spans="2:35" ht="18.5" x14ac:dyDescent="0.45">
      <c r="B273" s="236"/>
      <c r="C273" s="230"/>
      <c r="D273" s="249"/>
      <c r="E273" s="230" t="s">
        <v>305</v>
      </c>
      <c r="F273" s="284"/>
      <c r="G273" s="285">
        <f>G271*F240/3600*2</f>
        <v>10</v>
      </c>
      <c r="H273" s="250" t="s">
        <v>302</v>
      </c>
      <c r="I273" s="351"/>
      <c r="J273" s="265"/>
      <c r="K273" s="266"/>
      <c r="L273" s="266"/>
      <c r="M273" s="266"/>
      <c r="N273" s="125"/>
      <c r="Q273" s="1"/>
      <c r="R273" s="1"/>
      <c r="S273" s="1"/>
      <c r="T273" s="1"/>
      <c r="U273" s="1"/>
      <c r="V273" s="1"/>
      <c r="W273" s="1"/>
      <c r="AB273"/>
      <c r="AC273"/>
      <c r="AD273"/>
      <c r="AE273"/>
      <c r="AF273"/>
      <c r="AG273"/>
      <c r="AH273"/>
      <c r="AI273"/>
    </row>
    <row r="274" spans="2:35" ht="18.5" x14ac:dyDescent="0.45">
      <c r="B274" s="236"/>
      <c r="C274" s="230"/>
      <c r="D274" s="249"/>
      <c r="E274" s="230" t="s">
        <v>296</v>
      </c>
      <c r="F274" s="230"/>
      <c r="G274" s="283">
        <f>F246</f>
        <v>0.11824406548614927</v>
      </c>
      <c r="H274" s="250" t="s">
        <v>96</v>
      </c>
      <c r="I274" s="230"/>
      <c r="J274" s="230"/>
      <c r="K274" s="230"/>
      <c r="L274" s="125"/>
      <c r="M274" s="125"/>
      <c r="N274" s="125"/>
      <c r="Q274" s="1"/>
      <c r="R274" s="1"/>
      <c r="S274" s="1"/>
      <c r="T274" s="1"/>
      <c r="U274" s="1"/>
      <c r="V274" s="1"/>
      <c r="W274" s="1"/>
      <c r="AB274"/>
      <c r="AC274"/>
      <c r="AD274"/>
      <c r="AE274"/>
      <c r="AF274"/>
      <c r="AG274"/>
      <c r="AH274"/>
      <c r="AI274"/>
    </row>
    <row r="275" spans="2:35" ht="18.5" x14ac:dyDescent="0.45">
      <c r="B275" s="236"/>
      <c r="C275" s="230"/>
      <c r="D275" s="249"/>
      <c r="E275" s="230" t="s">
        <v>283</v>
      </c>
      <c r="F275" s="230"/>
      <c r="G275" s="283">
        <f>G271*G274</f>
        <v>472.97626194459707</v>
      </c>
      <c r="H275" s="250" t="s">
        <v>96</v>
      </c>
      <c r="I275" s="351"/>
      <c r="J275" s="265"/>
      <c r="K275" s="266"/>
      <c r="L275" s="266"/>
      <c r="M275" s="266"/>
      <c r="N275" s="125"/>
      <c r="Q275" s="1"/>
      <c r="R275" s="1"/>
      <c r="S275" s="1"/>
      <c r="T275" s="1"/>
      <c r="U275" s="1"/>
      <c r="V275" s="1"/>
      <c r="W275" s="1"/>
      <c r="AB275"/>
      <c r="AC275"/>
      <c r="AD275"/>
      <c r="AE275"/>
      <c r="AF275"/>
      <c r="AG275"/>
      <c r="AH275"/>
      <c r="AI275"/>
    </row>
    <row r="276" spans="2:35" ht="18.5" x14ac:dyDescent="0.45">
      <c r="B276" s="236"/>
      <c r="C276" s="230"/>
      <c r="D276" s="249"/>
      <c r="E276" s="230"/>
      <c r="F276" s="230"/>
      <c r="G276" s="283"/>
      <c r="H276" s="250"/>
      <c r="I276" s="351"/>
      <c r="J276" s="265"/>
      <c r="K276" s="280"/>
      <c r="L276" s="280"/>
      <c r="M276" s="280"/>
      <c r="N276" s="125"/>
      <c r="Q276" s="1"/>
      <c r="R276" s="1"/>
      <c r="S276" s="1"/>
      <c r="T276" s="1"/>
      <c r="U276" s="1"/>
      <c r="V276" s="1"/>
      <c r="W276" s="1"/>
      <c r="AB276"/>
      <c r="AC276"/>
      <c r="AD276"/>
      <c r="AE276"/>
      <c r="AF276"/>
      <c r="AG276"/>
      <c r="AH276"/>
      <c r="AI276"/>
    </row>
    <row r="277" spans="2:35" ht="18.5" x14ac:dyDescent="0.45">
      <c r="B277" s="236"/>
      <c r="C277" s="230"/>
      <c r="D277" s="249"/>
      <c r="E277" s="230" t="s">
        <v>300</v>
      </c>
      <c r="F277" s="230"/>
      <c r="G277" s="283">
        <f>SUM(G273,G267,G261)</f>
        <v>24.4</v>
      </c>
      <c r="H277" s="250" t="s">
        <v>302</v>
      </c>
      <c r="I277" s="230"/>
      <c r="J277" s="230"/>
      <c r="K277" s="230"/>
      <c r="L277" s="125"/>
      <c r="M277" s="125"/>
      <c r="N277" s="125"/>
      <c r="Q277" s="1"/>
      <c r="R277" s="1"/>
      <c r="S277" s="1"/>
      <c r="T277" s="1"/>
      <c r="U277" s="1"/>
      <c r="V277" s="1"/>
      <c r="W277" s="1"/>
      <c r="AB277"/>
      <c r="AC277"/>
      <c r="AD277"/>
      <c r="AE277"/>
      <c r="AF277"/>
      <c r="AG277"/>
      <c r="AH277"/>
      <c r="AI277"/>
    </row>
    <row r="278" spans="2:35" ht="18.5" x14ac:dyDescent="0.45">
      <c r="B278" s="236"/>
      <c r="C278" s="230"/>
      <c r="D278" s="249"/>
      <c r="E278" s="230" t="s">
        <v>301</v>
      </c>
      <c r="F278" s="230"/>
      <c r="G278" s="256">
        <f>G277/F237</f>
        <v>5.8095238095238089E-2</v>
      </c>
      <c r="H278" s="250"/>
      <c r="I278" s="230"/>
      <c r="J278" s="230"/>
      <c r="K278" s="230"/>
      <c r="L278" s="125"/>
      <c r="M278" s="125"/>
      <c r="N278" s="125"/>
      <c r="Q278" s="1"/>
      <c r="R278" s="1"/>
      <c r="S278" s="1"/>
      <c r="T278" s="1"/>
      <c r="U278" s="1"/>
      <c r="V278" s="1"/>
      <c r="W278" s="1"/>
      <c r="AB278"/>
      <c r="AC278"/>
      <c r="AD278"/>
      <c r="AE278"/>
      <c r="AF278"/>
      <c r="AG278"/>
      <c r="AH278"/>
      <c r="AI278"/>
    </row>
    <row r="279" spans="2:35" ht="18.5" x14ac:dyDescent="0.45">
      <c r="B279" s="236"/>
      <c r="C279" s="230"/>
      <c r="D279" s="249"/>
      <c r="E279" s="230"/>
      <c r="F279" s="230"/>
      <c r="G279" s="283"/>
      <c r="H279" s="250"/>
      <c r="I279" s="230"/>
      <c r="J279" s="230"/>
      <c r="K279" s="230"/>
      <c r="L279" s="125"/>
      <c r="M279" s="125"/>
      <c r="N279" s="125"/>
      <c r="Q279" s="1"/>
      <c r="R279" s="1"/>
      <c r="S279" s="1"/>
      <c r="T279" s="1"/>
      <c r="U279" s="1"/>
      <c r="V279" s="1"/>
      <c r="W279" s="1"/>
      <c r="AB279"/>
      <c r="AC279"/>
      <c r="AD279"/>
      <c r="AE279"/>
      <c r="AF279"/>
      <c r="AG279"/>
      <c r="AH279"/>
      <c r="AI279"/>
    </row>
    <row r="280" spans="2:35" ht="18.5" x14ac:dyDescent="0.45">
      <c r="B280" s="236"/>
      <c r="C280" s="230"/>
      <c r="D280" s="249"/>
      <c r="E280" s="230" t="s">
        <v>306</v>
      </c>
      <c r="F280" s="230"/>
      <c r="G280" s="283">
        <f>G272+G266+G260</f>
        <v>36.324959999999997</v>
      </c>
      <c r="H280" s="250" t="s">
        <v>171</v>
      </c>
      <c r="I280" s="230"/>
      <c r="J280" s="230"/>
      <c r="K280" s="230"/>
      <c r="L280" s="125"/>
      <c r="M280" s="125"/>
      <c r="N280" s="125"/>
      <c r="Q280" s="1"/>
      <c r="R280" s="1"/>
      <c r="S280" s="1"/>
      <c r="T280" s="1"/>
      <c r="U280" s="1"/>
      <c r="V280" s="1"/>
      <c r="W280" s="1"/>
      <c r="AB280"/>
      <c r="AC280"/>
      <c r="AD280"/>
      <c r="AE280"/>
      <c r="AF280"/>
      <c r="AG280"/>
      <c r="AH280"/>
      <c r="AI280"/>
    </row>
    <row r="281" spans="2:35" ht="18.5" x14ac:dyDescent="0.45">
      <c r="B281" s="236"/>
      <c r="C281" s="230"/>
      <c r="D281" s="249"/>
      <c r="E281" s="230"/>
      <c r="F281" s="230"/>
      <c r="G281" s="230"/>
      <c r="H281" s="250"/>
      <c r="I281" s="230"/>
      <c r="J281" s="230"/>
      <c r="K281" s="230"/>
      <c r="L281" s="125"/>
      <c r="M281" s="125"/>
      <c r="N281" s="125"/>
      <c r="Q281" s="1"/>
      <c r="R281" s="1"/>
      <c r="S281" s="1"/>
      <c r="T281" s="1"/>
      <c r="U281" s="1"/>
      <c r="V281" s="1"/>
      <c r="W281" s="1"/>
      <c r="AB281"/>
      <c r="AC281"/>
      <c r="AD281"/>
      <c r="AE281"/>
      <c r="AF281"/>
      <c r="AG281"/>
      <c r="AH281"/>
      <c r="AI281"/>
    </row>
    <row r="282" spans="2:35" ht="18.5" x14ac:dyDescent="0.45">
      <c r="B282" s="236"/>
      <c r="C282" s="230"/>
      <c r="D282" s="249"/>
      <c r="E282" s="230"/>
      <c r="F282" s="230"/>
      <c r="G282" s="230"/>
      <c r="H282" s="250"/>
      <c r="I282" s="230"/>
      <c r="J282" s="230"/>
      <c r="K282" s="230"/>
      <c r="L282" s="125"/>
      <c r="M282" s="125"/>
      <c r="N282" s="125"/>
      <c r="Q282" s="1"/>
      <c r="R282" s="1"/>
      <c r="S282" s="1"/>
      <c r="T282" s="1"/>
      <c r="U282" s="1"/>
      <c r="V282" s="1"/>
      <c r="W282" s="1"/>
      <c r="AB282"/>
      <c r="AC282"/>
      <c r="AD282"/>
      <c r="AE282"/>
      <c r="AF282"/>
      <c r="AG282"/>
      <c r="AH282"/>
      <c r="AI282"/>
    </row>
    <row r="283" spans="2:35" ht="18.5" x14ac:dyDescent="0.45">
      <c r="B283" s="236"/>
      <c r="C283" s="230"/>
      <c r="D283" s="249"/>
      <c r="E283" s="230"/>
      <c r="F283" s="230"/>
      <c r="G283" s="230"/>
      <c r="H283" s="250"/>
      <c r="I283" s="230"/>
      <c r="J283" s="230"/>
      <c r="K283" s="230"/>
      <c r="L283" s="125"/>
      <c r="M283" s="125"/>
      <c r="N283" s="125"/>
      <c r="Q283" s="1"/>
      <c r="R283" s="1"/>
      <c r="S283" s="1"/>
      <c r="T283" s="1"/>
      <c r="U283" s="1"/>
      <c r="V283" s="1"/>
      <c r="W283" s="1"/>
      <c r="AB283"/>
      <c r="AC283"/>
      <c r="AD283"/>
      <c r="AE283"/>
      <c r="AF283"/>
      <c r="AG283"/>
      <c r="AH283"/>
      <c r="AI283"/>
    </row>
    <row r="284" spans="2:35" ht="21" x14ac:dyDescent="0.5">
      <c r="B284" s="259" t="s">
        <v>272</v>
      </c>
      <c r="C284" s="260"/>
      <c r="D284" s="261"/>
      <c r="E284" s="275" t="s">
        <v>272</v>
      </c>
      <c r="F284" s="260"/>
      <c r="G284" s="275"/>
      <c r="H284" s="282"/>
      <c r="I284" s="230"/>
      <c r="J284" s="230"/>
      <c r="K284" s="230"/>
      <c r="L284" s="125"/>
      <c r="M284" s="125"/>
      <c r="N284" s="125"/>
      <c r="Q284" s="1"/>
      <c r="R284" s="1"/>
      <c r="S284" s="1"/>
      <c r="T284" s="1"/>
      <c r="U284" s="1"/>
      <c r="V284" s="1"/>
      <c r="W284" s="1"/>
      <c r="AB284"/>
      <c r="AC284"/>
      <c r="AD284"/>
      <c r="AE284"/>
      <c r="AF284"/>
      <c r="AG284"/>
      <c r="AH284"/>
      <c r="AI284"/>
    </row>
    <row r="285" spans="2:35" ht="21" x14ac:dyDescent="0.5">
      <c r="B285" s="259" t="s">
        <v>273</v>
      </c>
      <c r="C285" s="260">
        <f>(F227+F228)/F224/12</f>
        <v>274532.87750897784</v>
      </c>
      <c r="D285" s="261" t="s">
        <v>96</v>
      </c>
      <c r="E285" s="275" t="s">
        <v>273</v>
      </c>
      <c r="F285" s="260"/>
      <c r="G285" s="291">
        <f>G275+G269+G263</f>
        <v>8181.3541886128642</v>
      </c>
      <c r="H285" s="287" t="s">
        <v>96</v>
      </c>
      <c r="I285" s="230"/>
      <c r="J285" s="230"/>
      <c r="K285" s="230"/>
      <c r="L285" s="125"/>
      <c r="M285" s="125"/>
      <c r="N285" s="125"/>
      <c r="Q285" s="1"/>
      <c r="R285" s="1"/>
      <c r="S285" s="1"/>
      <c r="T285" s="1"/>
      <c r="U285" s="1"/>
      <c r="V285" s="1"/>
      <c r="W285" s="1"/>
      <c r="AB285"/>
      <c r="AC285"/>
      <c r="AD285"/>
      <c r="AE285"/>
      <c r="AF285"/>
      <c r="AG285"/>
      <c r="AH285"/>
      <c r="AI285"/>
    </row>
    <row r="286" spans="2:35" ht="19" thickBot="1" x14ac:dyDescent="0.5">
      <c r="B286" s="251"/>
      <c r="C286" s="252"/>
      <c r="D286" s="253"/>
      <c r="E286" s="252"/>
      <c r="F286" s="252"/>
      <c r="G286" s="252"/>
      <c r="H286" s="254"/>
      <c r="I286" s="230"/>
      <c r="J286" s="230"/>
      <c r="K286" s="230"/>
      <c r="L286" s="125"/>
      <c r="M286" s="125"/>
      <c r="N286" s="125"/>
      <c r="Q286" s="1"/>
      <c r="R286" s="1"/>
      <c r="S286" s="1"/>
      <c r="T286" s="1"/>
      <c r="U286" s="1"/>
      <c r="V286" s="1"/>
      <c r="W286" s="1"/>
      <c r="AB286"/>
      <c r="AC286"/>
      <c r="AD286"/>
      <c r="AE286"/>
      <c r="AF286"/>
      <c r="AG286"/>
      <c r="AH286"/>
      <c r="AI286"/>
    </row>
    <row r="287" spans="2:35" x14ac:dyDescent="0.35">
      <c r="B287" s="1"/>
      <c r="C287" s="1"/>
      <c r="D287" s="1"/>
      <c r="E287" s="1"/>
      <c r="F287" s="1"/>
      <c r="G287" s="1"/>
      <c r="H287" s="1"/>
      <c r="I287" s="125"/>
      <c r="J287" s="125"/>
      <c r="K287" s="125"/>
      <c r="L287" s="125"/>
      <c r="M287" s="125"/>
      <c r="N287" s="125"/>
      <c r="Q287" s="1"/>
      <c r="R287" s="1"/>
      <c r="S287" s="1"/>
      <c r="T287" s="1"/>
      <c r="U287" s="1"/>
      <c r="V287" s="1"/>
      <c r="W287" s="1"/>
      <c r="AB287"/>
      <c r="AC287"/>
      <c r="AD287"/>
      <c r="AE287"/>
      <c r="AF287"/>
      <c r="AG287"/>
      <c r="AH287"/>
      <c r="AI287"/>
    </row>
    <row r="288" spans="2:35" x14ac:dyDescent="0.35">
      <c r="B288" s="1"/>
      <c r="C288" s="1"/>
      <c r="D288" s="1"/>
      <c r="E288" s="1"/>
      <c r="F288" s="1"/>
      <c r="G288" s="1"/>
      <c r="H288" s="1"/>
      <c r="I288" s="125"/>
      <c r="J288" s="125"/>
      <c r="K288" s="125"/>
      <c r="L288" s="125"/>
      <c r="M288" s="125"/>
      <c r="N288" s="125"/>
      <c r="Q288" s="1"/>
      <c r="R288" s="1"/>
      <c r="S288" s="1"/>
      <c r="T288" s="1"/>
      <c r="U288" s="1"/>
      <c r="V288" s="1"/>
      <c r="W288" s="1"/>
      <c r="AB288"/>
      <c r="AC288"/>
      <c r="AD288"/>
      <c r="AE288"/>
      <c r="AF288"/>
      <c r="AG288"/>
      <c r="AH288"/>
      <c r="AI288"/>
    </row>
    <row r="289" spans="2:35" x14ac:dyDescent="0.35">
      <c r="B289" s="1"/>
      <c r="C289" s="1"/>
      <c r="D289" s="1"/>
      <c r="E289" s="1"/>
      <c r="F289" s="1"/>
      <c r="G289" s="1"/>
      <c r="H289" s="1"/>
      <c r="I289" s="125"/>
      <c r="J289" s="125"/>
      <c r="K289" s="125"/>
      <c r="L289" s="125"/>
      <c r="M289" s="125"/>
      <c r="N289" s="125"/>
      <c r="Q289" s="1"/>
      <c r="R289" s="1"/>
      <c r="S289" s="1"/>
      <c r="T289" s="1"/>
      <c r="U289" s="1"/>
      <c r="V289" s="1"/>
      <c r="W289" s="1"/>
      <c r="AB289"/>
      <c r="AC289"/>
      <c r="AD289"/>
      <c r="AE289"/>
      <c r="AF289"/>
      <c r="AG289"/>
      <c r="AH289"/>
      <c r="AI289"/>
    </row>
    <row r="290" spans="2:35" x14ac:dyDescent="0.35">
      <c r="B290" s="1"/>
      <c r="C290" s="1"/>
      <c r="D290" s="1"/>
      <c r="E290" s="1"/>
      <c r="F290" s="1"/>
      <c r="G290" s="1"/>
      <c r="H290" s="1"/>
      <c r="I290" s="1"/>
      <c r="Q290" s="1"/>
      <c r="R290" s="1"/>
      <c r="S290" s="1"/>
      <c r="T290" s="1"/>
      <c r="U290" s="1"/>
      <c r="V290" s="1"/>
      <c r="W290" s="1"/>
      <c r="AB290"/>
      <c r="AC290"/>
      <c r="AD290"/>
      <c r="AE290"/>
      <c r="AF290"/>
      <c r="AG290"/>
      <c r="AH290"/>
      <c r="AI290"/>
    </row>
    <row r="291" spans="2:35" x14ac:dyDescent="0.35">
      <c r="B291" s="1"/>
      <c r="C291" s="1"/>
      <c r="D291" s="1"/>
      <c r="E291" s="1"/>
      <c r="F291" s="1"/>
      <c r="G291" s="1"/>
    </row>
  </sheetData>
  <autoFilter ref="B15:Q31" xr:uid="{208CE17C-7F2A-4987-8E20-B04AF4BFFDD1}">
    <filterColumn colId="3" showButton="0"/>
    <filterColumn colId="5" showButton="0"/>
    <filterColumn colId="8" showButton="0"/>
    <filterColumn colId="12" showButton="0"/>
    <filterColumn colId="13" showButton="0"/>
  </autoFilter>
  <mergeCells count="25">
    <mergeCell ref="B155:B156"/>
    <mergeCell ref="C155:E155"/>
    <mergeCell ref="F155:H155"/>
    <mergeCell ref="D15:D16"/>
    <mergeCell ref="B64:B65"/>
    <mergeCell ref="B66:B67"/>
    <mergeCell ref="H64:H65"/>
    <mergeCell ref="H66:H67"/>
    <mergeCell ref="F88:G88"/>
    <mergeCell ref="C15:C16"/>
    <mergeCell ref="E15:F15"/>
    <mergeCell ref="C118:D118"/>
    <mergeCell ref="F92:G92"/>
    <mergeCell ref="F101:G101"/>
    <mergeCell ref="G15:H15"/>
    <mergeCell ref="I15:I16"/>
    <mergeCell ref="J15:K15"/>
    <mergeCell ref="M15:M16"/>
    <mergeCell ref="L15:L16"/>
    <mergeCell ref="N15:P15"/>
    <mergeCell ref="I272:I273"/>
    <mergeCell ref="I275:I276"/>
    <mergeCell ref="B255:D255"/>
    <mergeCell ref="E255:H255"/>
    <mergeCell ref="I255:K255"/>
  </mergeCells>
  <conditionalFormatting sqref="C206:M207 C204:M204">
    <cfRule type="cellIs" dxfId="0" priority="2" operator="lessThan">
      <formula>0</formula>
    </cfRule>
  </conditionalFormatting>
  <dataValidations count="1">
    <dataValidation type="list" allowBlank="1" showInputMessage="1" showErrorMessage="1" sqref="B5" xr:uid="{73FF944C-6EC0-47FD-913B-11110DF63F23}">
      <formula1>$B$6:$B$7</formula1>
    </dataValidation>
  </dataValidations>
  <pageMargins left="0.75" right="0.75" top="1" bottom="1" header="0.5" footer="0.5"/>
  <pageSetup paperSize="9" orientation="portrait" horizontalDpi="4294967292" verticalDpi="4294967292" r:id="rId1"/>
  <ignoredErrors>
    <ignoredError sqref="F108" emptyCellReference="1"/>
    <ignoredError sqref="J66:L66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AC4C4-6935-4EA4-AC9C-29F001058447}">
  <dimension ref="A2:S25"/>
  <sheetViews>
    <sheetView zoomScale="70" zoomScaleNormal="70" workbookViewId="0">
      <selection activeCell="B12" sqref="B12"/>
    </sheetView>
  </sheetViews>
  <sheetFormatPr baseColWidth="10" defaultRowHeight="15.5" x14ac:dyDescent="0.35"/>
  <cols>
    <col min="1" max="1" width="39.25" customWidth="1"/>
    <col min="2" max="2" width="11.75" customWidth="1"/>
    <col min="3" max="5" width="18.33203125" customWidth="1"/>
    <col min="6" max="6" width="14.83203125" customWidth="1"/>
  </cols>
  <sheetData>
    <row r="2" spans="1:6" ht="16" thickBot="1" x14ac:dyDescent="0.4"/>
    <row r="3" spans="1:6" ht="31.5" thickBot="1" x14ac:dyDescent="0.4">
      <c r="A3" s="34" t="s">
        <v>17</v>
      </c>
      <c r="B3" s="289" t="s">
        <v>11</v>
      </c>
      <c r="C3" s="36" t="s">
        <v>18</v>
      </c>
      <c r="D3" s="289" t="s">
        <v>20</v>
      </c>
      <c r="E3" s="36" t="s">
        <v>19</v>
      </c>
      <c r="F3" s="289" t="s">
        <v>21</v>
      </c>
    </row>
    <row r="4" spans="1:6" ht="16" thickBot="1" x14ac:dyDescent="0.4">
      <c r="A4" s="314" t="s">
        <v>189</v>
      </c>
      <c r="B4" s="317">
        <v>1</v>
      </c>
      <c r="C4" s="317">
        <v>1000000</v>
      </c>
      <c r="D4" s="317">
        <v>15</v>
      </c>
      <c r="E4" s="317">
        <f>B4*C4</f>
        <v>1000000</v>
      </c>
      <c r="F4" s="318">
        <f>E4/D4</f>
        <v>66666.666666666672</v>
      </c>
    </row>
    <row r="5" spans="1:6" ht="16" thickBot="1" x14ac:dyDescent="0.4">
      <c r="A5" s="314" t="s">
        <v>190</v>
      </c>
      <c r="B5" s="317">
        <v>1</v>
      </c>
      <c r="C5" s="317">
        <v>400000</v>
      </c>
      <c r="D5" s="317">
        <v>7</v>
      </c>
      <c r="E5" s="317">
        <f t="shared" ref="E5:E21" si="0">B5*C5</f>
        <v>400000</v>
      </c>
      <c r="F5" s="318">
        <f>E5/D5</f>
        <v>57142.857142857145</v>
      </c>
    </row>
    <row r="6" spans="1:6" ht="16" thickBot="1" x14ac:dyDescent="0.4">
      <c r="A6" s="314" t="s">
        <v>192</v>
      </c>
      <c r="B6" s="317">
        <v>1</v>
      </c>
      <c r="C6" s="317">
        <v>20000</v>
      </c>
      <c r="D6" s="317">
        <v>10</v>
      </c>
      <c r="E6" s="317">
        <f t="shared" si="0"/>
        <v>20000</v>
      </c>
      <c r="F6" s="318">
        <f t="shared" ref="F6:F21" si="1">E6/D6</f>
        <v>2000</v>
      </c>
    </row>
    <row r="7" spans="1:6" ht="16" thickBot="1" x14ac:dyDescent="0.4">
      <c r="A7" s="314" t="s">
        <v>99</v>
      </c>
      <c r="B7" s="317">
        <v>1</v>
      </c>
      <c r="C7" s="317">
        <v>1000000</v>
      </c>
      <c r="D7" s="317">
        <v>15</v>
      </c>
      <c r="E7" s="317">
        <f t="shared" si="0"/>
        <v>1000000</v>
      </c>
      <c r="F7" s="318">
        <f t="shared" si="1"/>
        <v>66666.666666666672</v>
      </c>
    </row>
    <row r="8" spans="1:6" ht="16" thickBot="1" x14ac:dyDescent="0.4">
      <c r="A8" s="314" t="s">
        <v>221</v>
      </c>
      <c r="B8" s="317">
        <v>1</v>
      </c>
      <c r="C8" s="317">
        <v>1300000</v>
      </c>
      <c r="D8" s="317">
        <v>15</v>
      </c>
      <c r="E8" s="317">
        <f>B8*C8</f>
        <v>1300000</v>
      </c>
      <c r="F8" s="318">
        <f t="shared" si="1"/>
        <v>86666.666666666672</v>
      </c>
    </row>
    <row r="9" spans="1:6" ht="16" thickBot="1" x14ac:dyDescent="0.4">
      <c r="A9" s="314" t="s">
        <v>215</v>
      </c>
      <c r="B9" s="317">
        <v>3</v>
      </c>
      <c r="C9" s="317">
        <v>1500</v>
      </c>
      <c r="D9" s="317">
        <v>2</v>
      </c>
      <c r="E9" s="317">
        <f t="shared" si="0"/>
        <v>4500</v>
      </c>
      <c r="F9" s="318">
        <f t="shared" si="1"/>
        <v>2250</v>
      </c>
    </row>
    <row r="10" spans="1:6" ht="16" thickBot="1" x14ac:dyDescent="0.4">
      <c r="A10" s="316" t="s">
        <v>312</v>
      </c>
      <c r="B10" s="319">
        <v>54</v>
      </c>
      <c r="C10" s="319">
        <v>78148.148148148102</v>
      </c>
      <c r="D10" s="317">
        <v>20</v>
      </c>
      <c r="E10" s="317">
        <f>B10*C10</f>
        <v>4219999.9999999972</v>
      </c>
      <c r="F10" s="318">
        <f t="shared" si="1"/>
        <v>210999.99999999985</v>
      </c>
    </row>
    <row r="11" spans="1:6" ht="16" thickBot="1" x14ac:dyDescent="0.4">
      <c r="A11" s="316" t="s">
        <v>313</v>
      </c>
      <c r="B11" s="319">
        <v>1</v>
      </c>
      <c r="C11" s="319">
        <v>1870329</v>
      </c>
      <c r="D11" s="317">
        <v>10</v>
      </c>
      <c r="E11" s="317">
        <f t="shared" si="0"/>
        <v>1870329</v>
      </c>
      <c r="F11" s="318">
        <f t="shared" si="1"/>
        <v>187032.9</v>
      </c>
    </row>
    <row r="12" spans="1:6" ht="16" thickBot="1" x14ac:dyDescent="0.4">
      <c r="A12" s="316" t="s">
        <v>314</v>
      </c>
      <c r="B12" s="319">
        <v>48</v>
      </c>
      <c r="C12" s="319">
        <v>194400.625</v>
      </c>
      <c r="D12" s="320">
        <v>7</v>
      </c>
      <c r="E12" s="317">
        <f t="shared" si="0"/>
        <v>9331230</v>
      </c>
      <c r="F12" s="318">
        <f t="shared" si="1"/>
        <v>1333032.857142857</v>
      </c>
    </row>
    <row r="13" spans="1:6" ht="16" thickBot="1" x14ac:dyDescent="0.4">
      <c r="A13" s="316" t="s">
        <v>315</v>
      </c>
      <c r="B13" s="319">
        <v>3</v>
      </c>
      <c r="C13" s="319">
        <v>1660376</v>
      </c>
      <c r="D13" s="317">
        <v>10</v>
      </c>
      <c r="E13" s="317">
        <f>B13*C13</f>
        <v>4981128</v>
      </c>
      <c r="F13" s="318">
        <f t="shared" si="1"/>
        <v>498112.8</v>
      </c>
    </row>
    <row r="14" spans="1:6" ht="16" thickBot="1" x14ac:dyDescent="0.4">
      <c r="A14" s="316" t="s">
        <v>316</v>
      </c>
      <c r="B14" s="319">
        <v>1</v>
      </c>
      <c r="C14" s="319">
        <v>275563</v>
      </c>
      <c r="D14" s="317">
        <v>15</v>
      </c>
      <c r="E14" s="317">
        <f t="shared" si="0"/>
        <v>275563</v>
      </c>
      <c r="F14" s="318">
        <f t="shared" si="1"/>
        <v>18370.866666666665</v>
      </c>
    </row>
    <row r="15" spans="1:6" ht="16" thickBot="1" x14ac:dyDescent="0.4">
      <c r="A15" s="316" t="s">
        <v>317</v>
      </c>
      <c r="B15" s="319">
        <v>1</v>
      </c>
      <c r="C15" s="319">
        <v>1049763</v>
      </c>
      <c r="D15" s="317">
        <v>15</v>
      </c>
      <c r="E15" s="317">
        <f t="shared" si="0"/>
        <v>1049763</v>
      </c>
      <c r="F15" s="318">
        <f t="shared" si="1"/>
        <v>69984.2</v>
      </c>
    </row>
    <row r="16" spans="1:6" ht="16" thickBot="1" x14ac:dyDescent="0.4">
      <c r="A16" s="316" t="s">
        <v>318</v>
      </c>
      <c r="B16" s="319">
        <v>1</v>
      </c>
      <c r="C16" s="319">
        <v>583632</v>
      </c>
      <c r="D16" s="317">
        <v>20</v>
      </c>
      <c r="E16" s="317">
        <f t="shared" si="0"/>
        <v>583632</v>
      </c>
      <c r="F16" s="318">
        <f t="shared" si="1"/>
        <v>29181.599999999999</v>
      </c>
    </row>
    <row r="17" spans="1:19" ht="16" thickBot="1" x14ac:dyDescent="0.4">
      <c r="A17" s="316" t="s">
        <v>319</v>
      </c>
      <c r="B17" s="319">
        <v>1</v>
      </c>
      <c r="C17" s="319">
        <v>161755</v>
      </c>
      <c r="D17" s="317">
        <v>10</v>
      </c>
      <c r="E17" s="317">
        <f t="shared" si="0"/>
        <v>161755</v>
      </c>
      <c r="F17" s="318">
        <f t="shared" si="1"/>
        <v>16175.5</v>
      </c>
    </row>
    <row r="18" spans="1:19" ht="16" thickBot="1" x14ac:dyDescent="0.4">
      <c r="A18" s="316" t="s">
        <v>320</v>
      </c>
      <c r="B18" s="319">
        <v>1</v>
      </c>
      <c r="C18" s="319">
        <v>437401</v>
      </c>
      <c r="D18" s="317">
        <v>7</v>
      </c>
      <c r="E18" s="317">
        <f t="shared" si="0"/>
        <v>437401</v>
      </c>
      <c r="F18" s="318">
        <f t="shared" si="1"/>
        <v>62485.857142857145</v>
      </c>
    </row>
    <row r="19" spans="1:19" ht="16" thickBot="1" x14ac:dyDescent="0.4">
      <c r="A19" s="315" t="s">
        <v>202</v>
      </c>
      <c r="B19" s="321">
        <v>1</v>
      </c>
      <c r="C19" s="321">
        <v>10000000</v>
      </c>
      <c r="D19" s="317">
        <v>30</v>
      </c>
      <c r="E19" s="317">
        <f t="shared" si="0"/>
        <v>10000000</v>
      </c>
      <c r="F19" s="318">
        <f t="shared" si="1"/>
        <v>333333.33333333331</v>
      </c>
    </row>
    <row r="20" spans="1:19" ht="16" thickBot="1" x14ac:dyDescent="0.4">
      <c r="A20" s="304" t="s">
        <v>230</v>
      </c>
      <c r="B20" s="317">
        <v>1</v>
      </c>
      <c r="C20" s="317">
        <v>1149167</v>
      </c>
      <c r="D20" s="317">
        <v>30</v>
      </c>
      <c r="E20" s="317">
        <f t="shared" si="0"/>
        <v>1149167</v>
      </c>
      <c r="F20" s="318">
        <f t="shared" si="1"/>
        <v>38305.566666666666</v>
      </c>
    </row>
    <row r="21" spans="1:19" ht="16" thickBot="1" x14ac:dyDescent="0.4">
      <c r="A21" s="304" t="s">
        <v>97</v>
      </c>
      <c r="B21" s="317">
        <v>1</v>
      </c>
      <c r="C21" s="317">
        <v>1370600</v>
      </c>
      <c r="D21" s="317">
        <v>30</v>
      </c>
      <c r="E21" s="317">
        <f t="shared" si="0"/>
        <v>1370600</v>
      </c>
      <c r="F21" s="318">
        <f t="shared" si="1"/>
        <v>45686.666666666664</v>
      </c>
    </row>
    <row r="22" spans="1:19" ht="16" thickBot="1" x14ac:dyDescent="0.4">
      <c r="A22" s="304" t="s">
        <v>22</v>
      </c>
      <c r="B22" s="317">
        <v>14</v>
      </c>
      <c r="C22" s="317">
        <v>82500</v>
      </c>
      <c r="D22" s="317">
        <v>20</v>
      </c>
      <c r="E22" s="317">
        <f t="shared" ref="E22:E24" si="2">B22*C22</f>
        <v>1155000</v>
      </c>
      <c r="F22" s="318">
        <f t="shared" ref="F22:F24" si="3">IFERROR(E22/D22,0)</f>
        <v>57750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6" thickBot="1" x14ac:dyDescent="0.4">
      <c r="A23" s="304" t="s">
        <v>255</v>
      </c>
      <c r="B23" s="317">
        <v>1</v>
      </c>
      <c r="C23" s="317">
        <v>925000</v>
      </c>
      <c r="D23" s="317">
        <v>15</v>
      </c>
      <c r="E23" s="317">
        <f t="shared" si="2"/>
        <v>925000</v>
      </c>
      <c r="F23" s="318">
        <f t="shared" si="3"/>
        <v>61666.666666666664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6" thickBot="1" x14ac:dyDescent="0.4">
      <c r="A24" s="304" t="s">
        <v>23</v>
      </c>
      <c r="B24" s="317">
        <v>1</v>
      </c>
      <c r="C24" s="317">
        <v>140000</v>
      </c>
      <c r="D24" s="317">
        <v>15</v>
      </c>
      <c r="E24" s="317">
        <f t="shared" si="2"/>
        <v>140000</v>
      </c>
      <c r="F24" s="318">
        <f t="shared" si="3"/>
        <v>9333.3333333333339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22.5" customHeight="1" thickBot="1" x14ac:dyDescent="0.4">
      <c r="A25" s="42" t="s">
        <v>15</v>
      </c>
      <c r="B25" s="322"/>
      <c r="C25" s="322"/>
      <c r="D25" s="322"/>
      <c r="E25" s="323">
        <f>SUM(E4:E24)</f>
        <v>41375068</v>
      </c>
      <c r="F25" s="324">
        <v>2737297.6190476194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3"/>
  <sheetViews>
    <sheetView workbookViewId="0">
      <selection activeCell="H19" sqref="H19"/>
    </sheetView>
  </sheetViews>
  <sheetFormatPr baseColWidth="10" defaultRowHeight="15.5" x14ac:dyDescent="0.35"/>
  <cols>
    <col min="1" max="5" width="26" customWidth="1"/>
    <col min="6" max="6" width="16.5" customWidth="1"/>
    <col min="7" max="7" width="26" hidden="1" customWidth="1"/>
    <col min="8" max="8" width="26" customWidth="1"/>
  </cols>
  <sheetData>
    <row r="1" spans="1:7" ht="21" x14ac:dyDescent="0.5">
      <c r="A1" s="7" t="s">
        <v>73</v>
      </c>
      <c r="B1" s="7"/>
    </row>
    <row r="2" spans="1:7" x14ac:dyDescent="0.35">
      <c r="A2" s="78" t="s">
        <v>74</v>
      </c>
      <c r="B2" s="79">
        <f>'Table rentabilité optimisé'!D189</f>
        <v>0.12</v>
      </c>
    </row>
    <row r="3" spans="1:7" x14ac:dyDescent="0.35">
      <c r="A3" s="78" t="s">
        <v>75</v>
      </c>
      <c r="B3" s="80">
        <f>'Table rentabilité optimisé'!D188</f>
        <v>12240414.199999999</v>
      </c>
    </row>
    <row r="4" spans="1:7" x14ac:dyDescent="0.35">
      <c r="A4" s="78" t="s">
        <v>76</v>
      </c>
      <c r="B4" s="78">
        <f>'Table rentabilité optimisé'!D190</f>
        <v>7</v>
      </c>
      <c r="C4">
        <f>B4*12</f>
        <v>84</v>
      </c>
    </row>
    <row r="5" spans="1:7" x14ac:dyDescent="0.35">
      <c r="A5" s="81" t="s">
        <v>77</v>
      </c>
      <c r="B5" s="82">
        <f>-PMT((1+B2)^(1/12)-1,B4*12,B3)</f>
        <v>212081.78465183501</v>
      </c>
      <c r="C5" t="s">
        <v>78</v>
      </c>
      <c r="D5" s="83" t="s">
        <v>79</v>
      </c>
      <c r="E5" s="84"/>
    </row>
    <row r="6" spans="1:7" x14ac:dyDescent="0.35">
      <c r="D6" s="85"/>
    </row>
    <row r="7" spans="1:7" ht="21" x14ac:dyDescent="0.5">
      <c r="A7" s="7" t="s">
        <v>80</v>
      </c>
      <c r="B7" s="7"/>
      <c r="D7" s="85"/>
    </row>
    <row r="8" spans="1:7" x14ac:dyDescent="0.35">
      <c r="A8" s="78" t="s">
        <v>81</v>
      </c>
      <c r="B8" s="80">
        <f>-PPMT((1+B2)^(1/12)-1,1,B4*12,B3)</f>
        <v>95935.028874505035</v>
      </c>
      <c r="C8" t="s">
        <v>82</v>
      </c>
      <c r="D8" s="86" t="s">
        <v>83</v>
      </c>
      <c r="E8" s="87"/>
    </row>
    <row r="9" spans="1:7" x14ac:dyDescent="0.35">
      <c r="A9" s="78" t="s">
        <v>84</v>
      </c>
      <c r="B9" s="80">
        <f>-IPMT((1+B2)^(1/12)-1,1,B4*12,B3)</f>
        <v>116146.75577732998</v>
      </c>
      <c r="C9" t="s">
        <v>85</v>
      </c>
      <c r="D9" s="86" t="s">
        <v>86</v>
      </c>
      <c r="E9" s="87"/>
    </row>
    <row r="10" spans="1:7" x14ac:dyDescent="0.35">
      <c r="D10" s="85"/>
    </row>
    <row r="12" spans="1:7" ht="18.5" x14ac:dyDescent="0.45">
      <c r="A12" s="88" t="s">
        <v>87</v>
      </c>
      <c r="B12" s="89"/>
      <c r="C12" s="90"/>
    </row>
    <row r="13" spans="1:7" ht="18.5" x14ac:dyDescent="0.45">
      <c r="A13" s="91" t="s">
        <v>88</v>
      </c>
      <c r="B13" s="91" t="s">
        <v>89</v>
      </c>
      <c r="C13" s="91" t="s">
        <v>47</v>
      </c>
      <c r="D13" s="91" t="s">
        <v>48</v>
      </c>
      <c r="E13" s="91" t="s">
        <v>90</v>
      </c>
      <c r="F13" s="91" t="s">
        <v>91</v>
      </c>
    </row>
    <row r="14" spans="1:7" x14ac:dyDescent="0.35">
      <c r="A14">
        <f>IF(B4&lt;&gt;0,1,"-")</f>
        <v>1</v>
      </c>
      <c r="B14" s="92">
        <f>IF(A14&lt;&gt;"-",C14+D14,"")</f>
        <v>212081.78465183501</v>
      </c>
      <c r="C14" s="92">
        <f>IF(A14&lt;&gt;"-",-PPMT((1+$B$2)^(1/12)-1,A14,$B$4*12,$B$3),"")</f>
        <v>95935.028874505035</v>
      </c>
      <c r="D14" s="92">
        <f>IF(A14&lt;&gt;"-",-IPMT((1+$B$2)^(1/12)-1,A14,$B$4*12,$B$3),"")</f>
        <v>116146.75577732998</v>
      </c>
      <c r="E14" s="92">
        <f>IF(A14&lt;&gt;"-",$B$3+CUMPRINC((1+$B$2)^(1/12)-1,$B$4*12,$B$3,1,A14,0),"")</f>
        <v>12144479.171125494</v>
      </c>
      <c r="F14">
        <f>IF(A14&lt;&gt;"-",1,"")</f>
        <v>1</v>
      </c>
      <c r="G14" s="93">
        <f>IF(A14&lt;&gt;"-",1,"")</f>
        <v>1</v>
      </c>
    </row>
    <row r="15" spans="1:7" x14ac:dyDescent="0.35">
      <c r="A15">
        <f>IF(AND($B$4&lt;&gt;0,A14&lt;$C$4),A14+1,"-")</f>
        <v>2</v>
      </c>
      <c r="B15" s="92">
        <f t="shared" ref="B15:B78" si="0">IF(A15&lt;&gt;"-",C15+D15,"")</f>
        <v>212081.78465183498</v>
      </c>
      <c r="C15" s="92">
        <f t="shared" ref="C15:C78" si="1">IF(A15&lt;&gt;"-",-PPMT((1+$B$2)^(1/12)-1,A15,$B$4*12,$B$3),"")</f>
        <v>96845.336498668461</v>
      </c>
      <c r="D15" s="92">
        <f t="shared" ref="D15:D78" si="2">IF(A15&lt;&gt;"-",-IPMT((1+$B$2)^(1/12)-1,A15,$B$4*12,$B$3),"")</f>
        <v>115236.44815316654</v>
      </c>
      <c r="E15" s="92">
        <f t="shared" ref="E15:E78" si="3">IF(A15&lt;&gt;"-",$B$3+CUMPRINC((1+$B$2)^(1/12)-1,$B$4*12,$B$3,1,A15,0),"")</f>
        <v>12047633.834626826</v>
      </c>
      <c r="F15">
        <f>IF(A15&lt;&gt;"-",IF(G14&lt;G15,F14,F14+1),"")</f>
        <v>1</v>
      </c>
      <c r="G15" s="92">
        <f>IF(A15="-","",IF(G14&lt;12,G14+1,1))</f>
        <v>2</v>
      </c>
    </row>
    <row r="16" spans="1:7" x14ac:dyDescent="0.35">
      <c r="A16">
        <f t="shared" ref="A16:A79" si="4">IF(AND($B$4&lt;&gt;0,A15&lt;$C$4),A15+1,"-")</f>
        <v>3</v>
      </c>
      <c r="B16" s="92">
        <f t="shared" si="0"/>
        <v>212081.78465183498</v>
      </c>
      <c r="C16" s="92">
        <f t="shared" si="1"/>
        <v>97764.281843384349</v>
      </c>
      <c r="D16" s="92">
        <f t="shared" si="2"/>
        <v>114317.50280845065</v>
      </c>
      <c r="E16" s="92">
        <f t="shared" si="3"/>
        <v>11949869.552783441</v>
      </c>
      <c r="F16">
        <f t="shared" ref="F16:F79" si="5">IF(A16&lt;&gt;"-",IF(G15&lt;G16,F15,F15+1),"")</f>
        <v>1</v>
      </c>
      <c r="G16" s="92">
        <f t="shared" ref="G16:G79" si="6">IF(A16="-","",IF(G15&lt;12,G15+1,1))</f>
        <v>3</v>
      </c>
    </row>
    <row r="17" spans="1:7" x14ac:dyDescent="0.35">
      <c r="A17">
        <f t="shared" si="4"/>
        <v>4</v>
      </c>
      <c r="B17" s="92">
        <f t="shared" si="0"/>
        <v>212081.78465183498</v>
      </c>
      <c r="C17" s="92">
        <f t="shared" si="1"/>
        <v>98691.946870194442</v>
      </c>
      <c r="D17" s="92">
        <f t="shared" si="2"/>
        <v>113389.83778164056</v>
      </c>
      <c r="E17" s="92">
        <f t="shared" si="3"/>
        <v>11851177.605913246</v>
      </c>
      <c r="F17">
        <f t="shared" si="5"/>
        <v>1</v>
      </c>
      <c r="G17" s="92">
        <f t="shared" si="6"/>
        <v>4</v>
      </c>
    </row>
    <row r="18" spans="1:7" x14ac:dyDescent="0.35">
      <c r="A18">
        <f t="shared" si="4"/>
        <v>5</v>
      </c>
      <c r="B18" s="92">
        <f t="shared" si="0"/>
        <v>212081.78465183498</v>
      </c>
      <c r="C18" s="92">
        <f t="shared" si="1"/>
        <v>99628.414318356576</v>
      </c>
      <c r="D18" s="92">
        <f t="shared" si="2"/>
        <v>112453.37033347842</v>
      </c>
      <c r="E18" s="92">
        <f t="shared" si="3"/>
        <v>11751549.191594889</v>
      </c>
      <c r="F18">
        <f t="shared" si="5"/>
        <v>1</v>
      </c>
      <c r="G18" s="92">
        <f t="shared" si="6"/>
        <v>5</v>
      </c>
    </row>
    <row r="19" spans="1:7" x14ac:dyDescent="0.35">
      <c r="A19">
        <f t="shared" si="4"/>
        <v>6</v>
      </c>
      <c r="B19" s="92">
        <f t="shared" si="0"/>
        <v>212081.78465183501</v>
      </c>
      <c r="C19" s="92">
        <f t="shared" si="1"/>
        <v>100573.76771222432</v>
      </c>
      <c r="D19" s="92">
        <f t="shared" si="2"/>
        <v>111508.01693961069</v>
      </c>
      <c r="E19" s="92">
        <f t="shared" si="3"/>
        <v>11650975.423882667</v>
      </c>
      <c r="F19">
        <f t="shared" si="5"/>
        <v>1</v>
      </c>
      <c r="G19" s="92">
        <f t="shared" si="6"/>
        <v>6</v>
      </c>
    </row>
    <row r="20" spans="1:7" x14ac:dyDescent="0.35">
      <c r="A20">
        <f t="shared" si="4"/>
        <v>7</v>
      </c>
      <c r="B20" s="92">
        <f t="shared" si="0"/>
        <v>212081.78465183498</v>
      </c>
      <c r="C20" s="92">
        <f t="shared" si="1"/>
        <v>101528.09136869648</v>
      </c>
      <c r="D20" s="92">
        <f t="shared" si="2"/>
        <v>110553.69328313852</v>
      </c>
      <c r="E20" s="92">
        <f t="shared" si="3"/>
        <v>11549447.332513969</v>
      </c>
      <c r="F20">
        <f t="shared" si="5"/>
        <v>1</v>
      </c>
      <c r="G20" s="92">
        <f t="shared" si="6"/>
        <v>7</v>
      </c>
    </row>
    <row r="21" spans="1:7" x14ac:dyDescent="0.35">
      <c r="A21">
        <f t="shared" si="4"/>
        <v>8</v>
      </c>
      <c r="B21" s="92">
        <f t="shared" si="0"/>
        <v>212081.78465183498</v>
      </c>
      <c r="C21" s="92">
        <f t="shared" si="1"/>
        <v>102491.47040473745</v>
      </c>
      <c r="D21" s="92">
        <f t="shared" si="2"/>
        <v>109590.31424709754</v>
      </c>
      <c r="E21" s="92">
        <f t="shared" si="3"/>
        <v>11446955.862109233</v>
      </c>
      <c r="F21">
        <f t="shared" si="5"/>
        <v>1</v>
      </c>
      <c r="G21" s="92">
        <f t="shared" si="6"/>
        <v>8</v>
      </c>
    </row>
    <row r="22" spans="1:7" x14ac:dyDescent="0.35">
      <c r="A22">
        <f t="shared" si="4"/>
        <v>9</v>
      </c>
      <c r="B22" s="92">
        <f t="shared" si="0"/>
        <v>212081.78465183504</v>
      </c>
      <c r="C22" s="92">
        <f t="shared" si="1"/>
        <v>103463.99074496898</v>
      </c>
      <c r="D22" s="92">
        <f t="shared" si="2"/>
        <v>108617.79390686605</v>
      </c>
      <c r="E22" s="92">
        <f t="shared" si="3"/>
        <v>11343491.871364264</v>
      </c>
      <c r="F22">
        <f t="shared" si="5"/>
        <v>1</v>
      </c>
      <c r="G22" s="92">
        <f t="shared" si="6"/>
        <v>9</v>
      </c>
    </row>
    <row r="23" spans="1:7" x14ac:dyDescent="0.35">
      <c r="A23">
        <f t="shared" si="4"/>
        <v>10</v>
      </c>
      <c r="B23" s="92">
        <f t="shared" si="0"/>
        <v>212081.78465183498</v>
      </c>
      <c r="C23" s="92">
        <f t="shared" si="1"/>
        <v>104445.73912933358</v>
      </c>
      <c r="D23" s="92">
        <f t="shared" si="2"/>
        <v>107636.04552250142</v>
      </c>
      <c r="E23" s="92">
        <f t="shared" si="3"/>
        <v>11239046.132234929</v>
      </c>
      <c r="F23">
        <f t="shared" si="5"/>
        <v>1</v>
      </c>
      <c r="G23" s="92">
        <f t="shared" si="6"/>
        <v>10</v>
      </c>
    </row>
    <row r="24" spans="1:7" x14ac:dyDescent="0.35">
      <c r="A24">
        <f t="shared" si="4"/>
        <v>11</v>
      </c>
      <c r="B24" s="92">
        <f t="shared" si="0"/>
        <v>212081.78465183504</v>
      </c>
      <c r="C24" s="92">
        <f t="shared" si="1"/>
        <v>105436.80312083132</v>
      </c>
      <c r="D24" s="92">
        <f t="shared" si="2"/>
        <v>106644.98153100371</v>
      </c>
      <c r="E24" s="92">
        <f t="shared" si="3"/>
        <v>11133609.329114098</v>
      </c>
      <c r="F24">
        <f t="shared" si="5"/>
        <v>1</v>
      </c>
      <c r="G24" s="92">
        <f t="shared" si="6"/>
        <v>11</v>
      </c>
    </row>
    <row r="25" spans="1:7" x14ac:dyDescent="0.35">
      <c r="A25">
        <f t="shared" si="4"/>
        <v>12</v>
      </c>
      <c r="B25" s="92">
        <f t="shared" si="0"/>
        <v>212081.78465183504</v>
      </c>
      <c r="C25" s="92">
        <f t="shared" si="1"/>
        <v>106437.27111332931</v>
      </c>
      <c r="D25" s="92">
        <f t="shared" si="2"/>
        <v>105644.51353850574</v>
      </c>
      <c r="E25" s="92">
        <f t="shared" si="3"/>
        <v>11027172.058000769</v>
      </c>
      <c r="F25">
        <f t="shared" si="5"/>
        <v>1</v>
      </c>
      <c r="G25" s="92">
        <f t="shared" si="6"/>
        <v>12</v>
      </c>
    </row>
    <row r="26" spans="1:7" x14ac:dyDescent="0.35">
      <c r="A26">
        <f t="shared" si="4"/>
        <v>13</v>
      </c>
      <c r="B26" s="92">
        <f t="shared" si="0"/>
        <v>212081.78465183498</v>
      </c>
      <c r="C26" s="92">
        <f t="shared" si="1"/>
        <v>107447.23233944573</v>
      </c>
      <c r="D26" s="92">
        <f t="shared" si="2"/>
        <v>104634.55231238925</v>
      </c>
      <c r="E26" s="92">
        <f t="shared" si="3"/>
        <v>10919724.825661324</v>
      </c>
      <c r="F26">
        <f t="shared" si="5"/>
        <v>2</v>
      </c>
      <c r="G26" s="92">
        <f t="shared" si="6"/>
        <v>1</v>
      </c>
    </row>
    <row r="27" spans="1:7" x14ac:dyDescent="0.35">
      <c r="A27">
        <f t="shared" si="4"/>
        <v>14</v>
      </c>
      <c r="B27" s="92">
        <f t="shared" si="0"/>
        <v>212081.78465183501</v>
      </c>
      <c r="C27" s="92">
        <f t="shared" si="1"/>
        <v>108466.77687850878</v>
      </c>
      <c r="D27" s="92">
        <f t="shared" si="2"/>
        <v>103615.00777332623</v>
      </c>
      <c r="E27" s="92">
        <f t="shared" si="3"/>
        <v>10811258.048782814</v>
      </c>
      <c r="F27">
        <f t="shared" si="5"/>
        <v>2</v>
      </c>
      <c r="G27" s="92">
        <f t="shared" si="6"/>
        <v>2</v>
      </c>
    </row>
    <row r="28" spans="1:7" x14ac:dyDescent="0.35">
      <c r="A28">
        <f t="shared" si="4"/>
        <v>15</v>
      </c>
      <c r="B28" s="92">
        <f t="shared" si="0"/>
        <v>212081.78465183498</v>
      </c>
      <c r="C28" s="92">
        <f t="shared" si="1"/>
        <v>109495.99566459056</v>
      </c>
      <c r="D28" s="92">
        <f t="shared" si="2"/>
        <v>102585.78898724444</v>
      </c>
      <c r="E28" s="92">
        <f t="shared" si="3"/>
        <v>10701762.053118223</v>
      </c>
      <c r="F28">
        <f t="shared" si="5"/>
        <v>2</v>
      </c>
      <c r="G28" s="92">
        <f t="shared" si="6"/>
        <v>3</v>
      </c>
    </row>
    <row r="29" spans="1:7" x14ac:dyDescent="0.35">
      <c r="A29">
        <f t="shared" si="4"/>
        <v>16</v>
      </c>
      <c r="B29" s="92">
        <f t="shared" si="0"/>
        <v>212081.78465183501</v>
      </c>
      <c r="C29" s="92">
        <f t="shared" si="1"/>
        <v>110534.98049461788</v>
      </c>
      <c r="D29" s="92">
        <f t="shared" si="2"/>
        <v>101546.80415721714</v>
      </c>
      <c r="E29" s="92">
        <f t="shared" si="3"/>
        <v>10591227.072623607</v>
      </c>
      <c r="F29">
        <f t="shared" si="5"/>
        <v>2</v>
      </c>
      <c r="G29" s="92">
        <f t="shared" si="6"/>
        <v>4</v>
      </c>
    </row>
    <row r="30" spans="1:7" x14ac:dyDescent="0.35">
      <c r="A30">
        <f t="shared" si="4"/>
        <v>17</v>
      </c>
      <c r="B30" s="92">
        <f t="shared" si="0"/>
        <v>212081.78465183498</v>
      </c>
      <c r="C30" s="92">
        <f t="shared" si="1"/>
        <v>111583.82403655947</v>
      </c>
      <c r="D30" s="92">
        <f t="shared" si="2"/>
        <v>100497.96061527552</v>
      </c>
      <c r="E30" s="92">
        <f t="shared" si="3"/>
        <v>10479643.248587046</v>
      </c>
      <c r="F30">
        <f t="shared" si="5"/>
        <v>2</v>
      </c>
      <c r="G30" s="92">
        <f t="shared" si="6"/>
        <v>5</v>
      </c>
    </row>
    <row r="31" spans="1:7" x14ac:dyDescent="0.35">
      <c r="A31">
        <f t="shared" si="4"/>
        <v>18</v>
      </c>
      <c r="B31" s="92">
        <f t="shared" si="0"/>
        <v>212081.78465183498</v>
      </c>
      <c r="C31" s="92">
        <f t="shared" si="1"/>
        <v>112642.61983769132</v>
      </c>
      <c r="D31" s="92">
        <f t="shared" si="2"/>
        <v>99439.16481414366</v>
      </c>
      <c r="E31" s="92">
        <f t="shared" si="3"/>
        <v>10367000.628749356</v>
      </c>
      <c r="F31">
        <f t="shared" si="5"/>
        <v>2</v>
      </c>
      <c r="G31" s="92">
        <f t="shared" si="6"/>
        <v>6</v>
      </c>
    </row>
    <row r="32" spans="1:7" x14ac:dyDescent="0.35">
      <c r="A32">
        <f t="shared" si="4"/>
        <v>19</v>
      </c>
      <c r="B32" s="92">
        <f t="shared" si="0"/>
        <v>212081.78465183501</v>
      </c>
      <c r="C32" s="92">
        <f t="shared" si="1"/>
        <v>113711.46233294015</v>
      </c>
      <c r="D32" s="92">
        <f t="shared" si="2"/>
        <v>98370.322318894861</v>
      </c>
      <c r="E32" s="92">
        <f t="shared" si="3"/>
        <v>10253289.166416414</v>
      </c>
      <c r="F32">
        <f t="shared" si="5"/>
        <v>2</v>
      </c>
      <c r="G32" s="92">
        <f t="shared" si="6"/>
        <v>7</v>
      </c>
    </row>
    <row r="33" spans="1:7" x14ac:dyDescent="0.35">
      <c r="A33">
        <f t="shared" si="4"/>
        <v>20</v>
      </c>
      <c r="B33" s="92">
        <f t="shared" si="0"/>
        <v>212081.78465183498</v>
      </c>
      <c r="C33" s="92">
        <f t="shared" si="1"/>
        <v>114790.44685330604</v>
      </c>
      <c r="D33" s="92">
        <f t="shared" si="2"/>
        <v>97291.337798528955</v>
      </c>
      <c r="E33" s="92">
        <f t="shared" si="3"/>
        <v>10138498.71956311</v>
      </c>
      <c r="F33">
        <f t="shared" si="5"/>
        <v>2</v>
      </c>
      <c r="G33" s="92">
        <f t="shared" si="6"/>
        <v>8</v>
      </c>
    </row>
    <row r="34" spans="1:7" x14ac:dyDescent="0.35">
      <c r="A34">
        <f t="shared" si="4"/>
        <v>21</v>
      </c>
      <c r="B34" s="92">
        <f t="shared" si="0"/>
        <v>212081.78465183498</v>
      </c>
      <c r="C34" s="92">
        <f t="shared" si="1"/>
        <v>115879.66963436535</v>
      </c>
      <c r="D34" s="92">
        <f t="shared" si="2"/>
        <v>96202.115017469652</v>
      </c>
      <c r="E34" s="92">
        <f t="shared" si="3"/>
        <v>10022619.049928743</v>
      </c>
      <c r="F34">
        <f t="shared" si="5"/>
        <v>2</v>
      </c>
      <c r="G34" s="92">
        <f t="shared" si="6"/>
        <v>9</v>
      </c>
    </row>
    <row r="35" spans="1:7" x14ac:dyDescent="0.35">
      <c r="A35">
        <f t="shared" si="4"/>
        <v>22</v>
      </c>
      <c r="B35" s="92">
        <f t="shared" si="0"/>
        <v>212081.78465183501</v>
      </c>
      <c r="C35" s="92">
        <f t="shared" si="1"/>
        <v>116979.22782485372</v>
      </c>
      <c r="D35" s="92">
        <f t="shared" si="2"/>
        <v>95102.556826981294</v>
      </c>
      <c r="E35" s="92">
        <f t="shared" si="3"/>
        <v>9905639.8221038897</v>
      </c>
      <c r="F35">
        <f t="shared" si="5"/>
        <v>2</v>
      </c>
      <c r="G35" s="92">
        <f t="shared" si="6"/>
        <v>10</v>
      </c>
    </row>
    <row r="36" spans="1:7" x14ac:dyDescent="0.35">
      <c r="A36">
        <f t="shared" si="4"/>
        <v>23</v>
      </c>
      <c r="B36" s="92">
        <f t="shared" si="0"/>
        <v>212081.78465183498</v>
      </c>
      <c r="C36" s="92">
        <f t="shared" si="1"/>
        <v>118089.21949533117</v>
      </c>
      <c r="D36" s="92">
        <f t="shared" si="2"/>
        <v>93992.565156503828</v>
      </c>
      <c r="E36" s="92">
        <f t="shared" si="3"/>
        <v>9787550.6026085578</v>
      </c>
      <c r="F36">
        <f t="shared" si="5"/>
        <v>2</v>
      </c>
      <c r="G36" s="92">
        <f t="shared" si="6"/>
        <v>11</v>
      </c>
    </row>
    <row r="37" spans="1:7" x14ac:dyDescent="0.35">
      <c r="A37">
        <f t="shared" si="4"/>
        <v>24</v>
      </c>
      <c r="B37" s="92">
        <f t="shared" si="0"/>
        <v>212081.78465183504</v>
      </c>
      <c r="C37" s="92">
        <f t="shared" si="1"/>
        <v>119209.74364692891</v>
      </c>
      <c r="D37" s="92">
        <f t="shared" si="2"/>
        <v>92872.041004906117</v>
      </c>
      <c r="E37" s="92">
        <f t="shared" si="3"/>
        <v>9668340.8589616306</v>
      </c>
      <c r="F37">
        <f t="shared" si="5"/>
        <v>2</v>
      </c>
      <c r="G37" s="92">
        <f t="shared" si="6"/>
        <v>12</v>
      </c>
    </row>
    <row r="38" spans="1:7" x14ac:dyDescent="0.35">
      <c r="A38">
        <f t="shared" si="4"/>
        <v>25</v>
      </c>
      <c r="B38" s="92">
        <f t="shared" si="0"/>
        <v>212081.78465183498</v>
      </c>
      <c r="C38" s="92">
        <f t="shared" si="1"/>
        <v>120340.90022017933</v>
      </c>
      <c r="D38" s="92">
        <f t="shared" si="2"/>
        <v>91740.884431655664</v>
      </c>
      <c r="E38" s="92">
        <f t="shared" si="3"/>
        <v>9547999.9587414507</v>
      </c>
      <c r="F38">
        <f t="shared" si="5"/>
        <v>3</v>
      </c>
      <c r="G38" s="92">
        <f t="shared" si="6"/>
        <v>1</v>
      </c>
    </row>
    <row r="39" spans="1:7" x14ac:dyDescent="0.35">
      <c r="A39">
        <f t="shared" si="4"/>
        <v>26</v>
      </c>
      <c r="B39" s="92">
        <f t="shared" si="0"/>
        <v>212081.78465183498</v>
      </c>
      <c r="C39" s="92">
        <f t="shared" si="1"/>
        <v>121482.79010392993</v>
      </c>
      <c r="D39" s="92">
        <f t="shared" si="2"/>
        <v>90598.994547905066</v>
      </c>
      <c r="E39" s="92">
        <f t="shared" si="3"/>
        <v>9426517.1686375216</v>
      </c>
      <c r="F39">
        <f t="shared" si="5"/>
        <v>3</v>
      </c>
      <c r="G39" s="92">
        <f t="shared" si="6"/>
        <v>2</v>
      </c>
    </row>
    <row r="40" spans="1:7" x14ac:dyDescent="0.35">
      <c r="A40">
        <f t="shared" si="4"/>
        <v>27</v>
      </c>
      <c r="B40" s="92">
        <f t="shared" si="0"/>
        <v>212081.78465183498</v>
      </c>
      <c r="C40" s="92">
        <f t="shared" si="1"/>
        <v>122635.51514434154</v>
      </c>
      <c r="D40" s="92">
        <f t="shared" si="2"/>
        <v>89446.26950749346</v>
      </c>
      <c r="E40" s="92">
        <f t="shared" si="3"/>
        <v>9303881.653493179</v>
      </c>
      <c r="F40">
        <f t="shared" si="5"/>
        <v>3</v>
      </c>
      <c r="G40" s="92">
        <f t="shared" si="6"/>
        <v>3</v>
      </c>
    </row>
    <row r="41" spans="1:7" x14ac:dyDescent="0.35">
      <c r="A41">
        <f t="shared" si="4"/>
        <v>28</v>
      </c>
      <c r="B41" s="92">
        <f t="shared" si="0"/>
        <v>212081.78465183498</v>
      </c>
      <c r="C41" s="92">
        <f t="shared" si="1"/>
        <v>123799.17815397211</v>
      </c>
      <c r="D41" s="92">
        <f t="shared" si="2"/>
        <v>88282.606497862886</v>
      </c>
      <c r="E41" s="92">
        <f t="shared" si="3"/>
        <v>9180082.4753392078</v>
      </c>
      <c r="F41">
        <f t="shared" si="5"/>
        <v>3</v>
      </c>
      <c r="G41" s="92">
        <f t="shared" si="6"/>
        <v>4</v>
      </c>
    </row>
    <row r="42" spans="1:7" x14ac:dyDescent="0.35">
      <c r="A42">
        <f t="shared" si="4"/>
        <v>29</v>
      </c>
      <c r="B42" s="92">
        <f t="shared" si="0"/>
        <v>212081.78465183498</v>
      </c>
      <c r="C42" s="92">
        <f t="shared" si="1"/>
        <v>124973.88292094672</v>
      </c>
      <c r="D42" s="92">
        <f t="shared" si="2"/>
        <v>87107.901730888276</v>
      </c>
      <c r="E42" s="92">
        <f t="shared" si="3"/>
        <v>9055108.5924182609</v>
      </c>
      <c r="F42">
        <f t="shared" si="5"/>
        <v>3</v>
      </c>
      <c r="G42" s="92">
        <f t="shared" si="6"/>
        <v>5</v>
      </c>
    </row>
    <row r="43" spans="1:7" x14ac:dyDescent="0.35">
      <c r="A43">
        <f t="shared" si="4"/>
        <v>30</v>
      </c>
      <c r="B43" s="92">
        <f t="shared" si="0"/>
        <v>212081.78465183498</v>
      </c>
      <c r="C43" s="92">
        <f t="shared" si="1"/>
        <v>126159.73421821439</v>
      </c>
      <c r="D43" s="92">
        <f t="shared" si="2"/>
        <v>85922.050433620592</v>
      </c>
      <c r="E43" s="92">
        <f t="shared" si="3"/>
        <v>8928948.8582000453</v>
      </c>
      <c r="F43">
        <f t="shared" si="5"/>
        <v>3</v>
      </c>
      <c r="G43" s="92">
        <f t="shared" si="6"/>
        <v>6</v>
      </c>
    </row>
    <row r="44" spans="1:7" x14ac:dyDescent="0.35">
      <c r="A44">
        <f t="shared" si="4"/>
        <v>31</v>
      </c>
      <c r="B44" s="92">
        <f t="shared" si="0"/>
        <v>212081.78465183498</v>
      </c>
      <c r="C44" s="92">
        <f t="shared" si="1"/>
        <v>127356.83781289308</v>
      </c>
      <c r="D44" s="92">
        <f t="shared" si="2"/>
        <v>84724.94683894192</v>
      </c>
      <c r="E44" s="92">
        <f t="shared" si="3"/>
        <v>8801592.0203871522</v>
      </c>
      <c r="F44">
        <f t="shared" si="5"/>
        <v>3</v>
      </c>
      <c r="G44" s="92">
        <f t="shared" si="6"/>
        <v>7</v>
      </c>
    </row>
    <row r="45" spans="1:7" x14ac:dyDescent="0.35">
      <c r="A45">
        <f t="shared" si="4"/>
        <v>32</v>
      </c>
      <c r="B45" s="92">
        <f t="shared" si="0"/>
        <v>212081.78465183501</v>
      </c>
      <c r="C45" s="92">
        <f t="shared" si="1"/>
        <v>128565.30047570291</v>
      </c>
      <c r="D45" s="92">
        <f t="shared" si="2"/>
        <v>83516.4841761321</v>
      </c>
      <c r="E45" s="92">
        <f t="shared" si="3"/>
        <v>8673026.7199114487</v>
      </c>
      <c r="F45">
        <f t="shared" si="5"/>
        <v>3</v>
      </c>
      <c r="G45" s="92">
        <f t="shared" si="6"/>
        <v>8</v>
      </c>
    </row>
    <row r="46" spans="1:7" x14ac:dyDescent="0.35">
      <c r="A46">
        <f t="shared" si="4"/>
        <v>33</v>
      </c>
      <c r="B46" s="92">
        <f t="shared" si="0"/>
        <v>212081.78465183498</v>
      </c>
      <c r="C46" s="92">
        <f t="shared" si="1"/>
        <v>129785.22999048927</v>
      </c>
      <c r="D46" s="92">
        <f t="shared" si="2"/>
        <v>82296.554661345712</v>
      </c>
      <c r="E46" s="92">
        <f t="shared" si="3"/>
        <v>8543241.4899209607</v>
      </c>
      <c r="F46">
        <f t="shared" si="5"/>
        <v>3</v>
      </c>
      <c r="G46" s="92">
        <f t="shared" si="6"/>
        <v>9</v>
      </c>
    </row>
    <row r="47" spans="1:7" x14ac:dyDescent="0.35">
      <c r="A47">
        <f t="shared" si="4"/>
        <v>34</v>
      </c>
      <c r="B47" s="92">
        <f t="shared" si="0"/>
        <v>212081.78465183498</v>
      </c>
      <c r="C47" s="92">
        <f t="shared" si="1"/>
        <v>131016.73516383626</v>
      </c>
      <c r="D47" s="92">
        <f t="shared" si="2"/>
        <v>81065.049487998738</v>
      </c>
      <c r="E47" s="92">
        <f t="shared" si="3"/>
        <v>8412224.7547571249</v>
      </c>
      <c r="F47">
        <f t="shared" si="5"/>
        <v>3</v>
      </c>
      <c r="G47" s="92">
        <f t="shared" si="6"/>
        <v>10</v>
      </c>
    </row>
    <row r="48" spans="1:7" x14ac:dyDescent="0.35">
      <c r="A48">
        <f t="shared" si="4"/>
        <v>35</v>
      </c>
      <c r="B48" s="92">
        <f t="shared" si="0"/>
        <v>212081.78465183498</v>
      </c>
      <c r="C48" s="92">
        <f t="shared" si="1"/>
        <v>132259.92583477101</v>
      </c>
      <c r="D48" s="92">
        <f t="shared" si="2"/>
        <v>79821.858817063985</v>
      </c>
      <c r="E48" s="92">
        <f t="shared" si="3"/>
        <v>8279964.8289223528</v>
      </c>
      <c r="F48">
        <f t="shared" si="5"/>
        <v>3</v>
      </c>
      <c r="G48" s="92">
        <f t="shared" si="6"/>
        <v>11</v>
      </c>
    </row>
    <row r="49" spans="1:7" x14ac:dyDescent="0.35">
      <c r="A49">
        <f t="shared" si="4"/>
        <v>36</v>
      </c>
      <c r="B49" s="92">
        <f t="shared" si="0"/>
        <v>212081.78465183498</v>
      </c>
      <c r="C49" s="92">
        <f t="shared" si="1"/>
        <v>133514.91288456047</v>
      </c>
      <c r="D49" s="92">
        <f t="shared" si="2"/>
        <v>78566.871767274526</v>
      </c>
      <c r="E49" s="92">
        <f t="shared" si="3"/>
        <v>8146449.9160377923</v>
      </c>
      <c r="F49">
        <f t="shared" si="5"/>
        <v>3</v>
      </c>
      <c r="G49" s="92">
        <f t="shared" si="6"/>
        <v>12</v>
      </c>
    </row>
    <row r="50" spans="1:7" x14ac:dyDescent="0.35">
      <c r="A50">
        <f t="shared" si="4"/>
        <v>37</v>
      </c>
      <c r="B50" s="92">
        <f t="shared" si="0"/>
        <v>212081.78465183498</v>
      </c>
      <c r="C50" s="92">
        <f t="shared" si="1"/>
        <v>134781.80824660094</v>
      </c>
      <c r="D50" s="92">
        <f t="shared" si="2"/>
        <v>77299.976405234047</v>
      </c>
      <c r="E50" s="92">
        <f t="shared" si="3"/>
        <v>8011668.1077911919</v>
      </c>
      <c r="F50">
        <f t="shared" si="5"/>
        <v>4</v>
      </c>
      <c r="G50" s="92">
        <f t="shared" si="6"/>
        <v>1</v>
      </c>
    </row>
    <row r="51" spans="1:7" x14ac:dyDescent="0.35">
      <c r="A51">
        <f t="shared" si="4"/>
        <v>38</v>
      </c>
      <c r="B51" s="92">
        <f t="shared" si="0"/>
        <v>212081.78465183501</v>
      </c>
      <c r="C51" s="92">
        <f t="shared" si="1"/>
        <v>136060.72491640164</v>
      </c>
      <c r="D51" s="92">
        <f t="shared" si="2"/>
        <v>76021.059735433373</v>
      </c>
      <c r="E51" s="92">
        <f t="shared" si="3"/>
        <v>7875607.3828747896</v>
      </c>
      <c r="F51">
        <f t="shared" si="5"/>
        <v>4</v>
      </c>
      <c r="G51" s="92">
        <f t="shared" si="6"/>
        <v>2</v>
      </c>
    </row>
    <row r="52" spans="1:7" x14ac:dyDescent="0.35">
      <c r="A52">
        <f t="shared" si="4"/>
        <v>39</v>
      </c>
      <c r="B52" s="92">
        <f t="shared" si="0"/>
        <v>212081.78465183498</v>
      </c>
      <c r="C52" s="92">
        <f t="shared" si="1"/>
        <v>137351.77696166263</v>
      </c>
      <c r="D52" s="92">
        <f t="shared" si="2"/>
        <v>74730.007690172366</v>
      </c>
      <c r="E52" s="92">
        <f t="shared" si="3"/>
        <v>7738255.6059131268</v>
      </c>
      <c r="F52">
        <f t="shared" si="5"/>
        <v>4</v>
      </c>
      <c r="G52" s="92">
        <f t="shared" si="6"/>
        <v>3</v>
      </c>
    </row>
    <row r="53" spans="1:7" x14ac:dyDescent="0.35">
      <c r="A53">
        <f t="shared" si="4"/>
        <v>40</v>
      </c>
      <c r="B53" s="92">
        <f t="shared" si="0"/>
        <v>212081.78465183501</v>
      </c>
      <c r="C53" s="92">
        <f t="shared" si="1"/>
        <v>138655.0795324489</v>
      </c>
      <c r="D53" s="92">
        <f t="shared" si="2"/>
        <v>73426.705119386112</v>
      </c>
      <c r="E53" s="92">
        <f t="shared" si="3"/>
        <v>7599600.5263806786</v>
      </c>
      <c r="F53">
        <f t="shared" si="5"/>
        <v>4</v>
      </c>
      <c r="G53" s="92">
        <f t="shared" si="6"/>
        <v>4</v>
      </c>
    </row>
    <row r="54" spans="1:7" x14ac:dyDescent="0.35">
      <c r="A54">
        <f t="shared" si="4"/>
        <v>41</v>
      </c>
      <c r="B54" s="92">
        <f t="shared" si="0"/>
        <v>212081.78465183498</v>
      </c>
      <c r="C54" s="92">
        <f t="shared" si="1"/>
        <v>139970.74887146044</v>
      </c>
      <c r="D54" s="92">
        <f t="shared" si="2"/>
        <v>72111.035780374557</v>
      </c>
      <c r="E54" s="92">
        <f t="shared" si="3"/>
        <v>7459629.7775092172</v>
      </c>
      <c r="F54">
        <f t="shared" si="5"/>
        <v>4</v>
      </c>
      <c r="G54" s="92">
        <f t="shared" si="6"/>
        <v>5</v>
      </c>
    </row>
    <row r="55" spans="1:7" x14ac:dyDescent="0.35">
      <c r="A55">
        <f t="shared" si="4"/>
        <v>42</v>
      </c>
      <c r="B55" s="92">
        <f t="shared" si="0"/>
        <v>212081.78465183501</v>
      </c>
      <c r="C55" s="92">
        <f t="shared" si="1"/>
        <v>141298.90232440026</v>
      </c>
      <c r="D55" s="92">
        <f t="shared" si="2"/>
        <v>70782.882327434752</v>
      </c>
      <c r="E55" s="92">
        <f t="shared" si="3"/>
        <v>7318330.8751848182</v>
      </c>
      <c r="F55">
        <f t="shared" si="5"/>
        <v>4</v>
      </c>
      <c r="G55" s="92">
        <f t="shared" si="6"/>
        <v>6</v>
      </c>
    </row>
    <row r="56" spans="1:7" x14ac:dyDescent="0.35">
      <c r="A56">
        <f t="shared" si="4"/>
        <v>43</v>
      </c>
      <c r="B56" s="92">
        <f t="shared" si="0"/>
        <v>212081.78465183498</v>
      </c>
      <c r="C56" s="92">
        <f t="shared" si="1"/>
        <v>142639.65835044035</v>
      </c>
      <c r="D56" s="92">
        <f t="shared" si="2"/>
        <v>69442.12630139463</v>
      </c>
      <c r="E56" s="92">
        <f t="shared" si="3"/>
        <v>7175691.2168343775</v>
      </c>
      <c r="F56">
        <f t="shared" si="5"/>
        <v>4</v>
      </c>
      <c r="G56" s="92">
        <f t="shared" si="6"/>
        <v>7</v>
      </c>
    </row>
    <row r="57" spans="1:7" x14ac:dyDescent="0.35">
      <c r="A57">
        <f t="shared" si="4"/>
        <v>44</v>
      </c>
      <c r="B57" s="92">
        <f t="shared" si="0"/>
        <v>212081.78465183498</v>
      </c>
      <c r="C57" s="92">
        <f t="shared" si="1"/>
        <v>143993.13653278735</v>
      </c>
      <c r="D57" s="92">
        <f t="shared" si="2"/>
        <v>68088.648119047648</v>
      </c>
      <c r="E57" s="92">
        <f t="shared" si="3"/>
        <v>7031698.0803015903</v>
      </c>
      <c r="F57">
        <f t="shared" si="5"/>
        <v>4</v>
      </c>
      <c r="G57" s="92">
        <f t="shared" si="6"/>
        <v>8</v>
      </c>
    </row>
    <row r="58" spans="1:7" x14ac:dyDescent="0.35">
      <c r="A58">
        <f t="shared" si="4"/>
        <v>45</v>
      </c>
      <c r="B58" s="92">
        <f t="shared" si="0"/>
        <v>212081.78465183498</v>
      </c>
      <c r="C58" s="92">
        <f t="shared" si="1"/>
        <v>145359.45758934811</v>
      </c>
      <c r="D58" s="92">
        <f t="shared" si="2"/>
        <v>66722.327062486875</v>
      </c>
      <c r="E58" s="92">
        <f t="shared" si="3"/>
        <v>6886338.6227122415</v>
      </c>
      <c r="F58">
        <f t="shared" si="5"/>
        <v>4</v>
      </c>
      <c r="G58" s="92">
        <f t="shared" si="6"/>
        <v>9</v>
      </c>
    </row>
    <row r="59" spans="1:7" x14ac:dyDescent="0.35">
      <c r="A59">
        <f t="shared" si="4"/>
        <v>46</v>
      </c>
      <c r="B59" s="92">
        <f t="shared" si="0"/>
        <v>212081.78465183501</v>
      </c>
      <c r="C59" s="92">
        <f t="shared" si="1"/>
        <v>146738.74338349677</v>
      </c>
      <c r="D59" s="92">
        <f t="shared" si="2"/>
        <v>65343.041268338238</v>
      </c>
      <c r="E59" s="92">
        <f t="shared" si="3"/>
        <v>6739599.8793287454</v>
      </c>
      <c r="F59">
        <f t="shared" si="5"/>
        <v>4</v>
      </c>
      <c r="G59" s="92">
        <f t="shared" si="6"/>
        <v>10</v>
      </c>
    </row>
    <row r="60" spans="1:7" x14ac:dyDescent="0.35">
      <c r="A60">
        <f t="shared" si="4"/>
        <v>47</v>
      </c>
      <c r="B60" s="92">
        <f t="shared" si="0"/>
        <v>212081.78465183498</v>
      </c>
      <c r="C60" s="92">
        <f t="shared" si="1"/>
        <v>148131.11693494365</v>
      </c>
      <c r="D60" s="92">
        <f t="shared" si="2"/>
        <v>63950.667716891323</v>
      </c>
      <c r="E60" s="92">
        <f t="shared" si="3"/>
        <v>6591468.7623938015</v>
      </c>
      <c r="F60">
        <f t="shared" si="5"/>
        <v>4</v>
      </c>
      <c r="G60" s="92">
        <f t="shared" si="6"/>
        <v>11</v>
      </c>
    </row>
    <row r="61" spans="1:7" x14ac:dyDescent="0.35">
      <c r="A61">
        <f t="shared" si="4"/>
        <v>48</v>
      </c>
      <c r="B61" s="92">
        <f t="shared" si="0"/>
        <v>212081.78465183501</v>
      </c>
      <c r="C61" s="92">
        <f t="shared" si="1"/>
        <v>149536.70243070787</v>
      </c>
      <c r="D61" s="92">
        <f t="shared" si="2"/>
        <v>62545.082221127137</v>
      </c>
      <c r="E61" s="92">
        <f t="shared" si="3"/>
        <v>6441932.0599630931</v>
      </c>
      <c r="F61">
        <f t="shared" si="5"/>
        <v>4</v>
      </c>
      <c r="G61" s="92">
        <f t="shared" si="6"/>
        <v>12</v>
      </c>
    </row>
    <row r="62" spans="1:7" x14ac:dyDescent="0.35">
      <c r="A62">
        <f t="shared" si="4"/>
        <v>49</v>
      </c>
      <c r="B62" s="92">
        <f t="shared" si="0"/>
        <v>212081.78465183498</v>
      </c>
      <c r="C62" s="92">
        <f t="shared" si="1"/>
        <v>150955.62523619321</v>
      </c>
      <c r="D62" s="92">
        <f t="shared" si="2"/>
        <v>61126.159415641785</v>
      </c>
      <c r="E62" s="92">
        <f t="shared" si="3"/>
        <v>6290976.4347269014</v>
      </c>
      <c r="F62">
        <f t="shared" si="5"/>
        <v>5</v>
      </c>
      <c r="G62" s="92">
        <f t="shared" si="6"/>
        <v>1</v>
      </c>
    </row>
    <row r="63" spans="1:7" x14ac:dyDescent="0.35">
      <c r="A63">
        <f t="shared" si="4"/>
        <v>50</v>
      </c>
      <c r="B63" s="92">
        <f t="shared" si="0"/>
        <v>212081.78465183501</v>
      </c>
      <c r="C63" s="92">
        <f t="shared" si="1"/>
        <v>152388.01190636997</v>
      </c>
      <c r="D63" s="92">
        <f t="shared" si="2"/>
        <v>59693.772745465045</v>
      </c>
      <c r="E63" s="92">
        <f t="shared" si="3"/>
        <v>6138588.4228205308</v>
      </c>
      <c r="F63">
        <f t="shared" si="5"/>
        <v>5</v>
      </c>
      <c r="G63" s="92">
        <f t="shared" si="6"/>
        <v>2</v>
      </c>
    </row>
    <row r="64" spans="1:7" x14ac:dyDescent="0.35">
      <c r="A64">
        <f t="shared" si="4"/>
        <v>51</v>
      </c>
      <c r="B64" s="92">
        <f t="shared" si="0"/>
        <v>212081.78465183498</v>
      </c>
      <c r="C64" s="92">
        <f t="shared" si="1"/>
        <v>153833.99019706229</v>
      </c>
      <c r="D64" s="92">
        <f t="shared" si="2"/>
        <v>58247.794454772709</v>
      </c>
      <c r="E64" s="92">
        <f t="shared" si="3"/>
        <v>5984754.4326234674</v>
      </c>
      <c r="F64">
        <f t="shared" si="5"/>
        <v>5</v>
      </c>
      <c r="G64" s="92">
        <f t="shared" si="6"/>
        <v>3</v>
      </c>
    </row>
    <row r="65" spans="1:7" x14ac:dyDescent="0.35">
      <c r="A65">
        <f t="shared" si="4"/>
        <v>52</v>
      </c>
      <c r="B65" s="92">
        <f t="shared" si="0"/>
        <v>212081.78465183504</v>
      </c>
      <c r="C65" s="92">
        <f t="shared" si="1"/>
        <v>155293.68907634291</v>
      </c>
      <c r="D65" s="92">
        <f t="shared" si="2"/>
        <v>56788.095575492116</v>
      </c>
      <c r="E65" s="92">
        <f t="shared" si="3"/>
        <v>5829460.7435471248</v>
      </c>
      <c r="F65">
        <f t="shared" si="5"/>
        <v>5</v>
      </c>
      <c r="G65" s="92">
        <f t="shared" si="6"/>
        <v>4</v>
      </c>
    </row>
    <row r="66" spans="1:7" x14ac:dyDescent="0.35">
      <c r="A66">
        <f t="shared" si="4"/>
        <v>53</v>
      </c>
      <c r="B66" s="92">
        <f t="shared" si="0"/>
        <v>212081.78465183501</v>
      </c>
      <c r="C66" s="92">
        <f t="shared" si="1"/>
        <v>156767.23873603583</v>
      </c>
      <c r="D66" s="92">
        <f t="shared" si="2"/>
        <v>55314.545915799179</v>
      </c>
      <c r="E66" s="92">
        <f t="shared" si="3"/>
        <v>5672693.5048110904</v>
      </c>
      <c r="F66">
        <f t="shared" si="5"/>
        <v>5</v>
      </c>
      <c r="G66" s="92">
        <f t="shared" si="6"/>
        <v>5</v>
      </c>
    </row>
    <row r="67" spans="1:7" x14ac:dyDescent="0.35">
      <c r="A67">
        <f t="shared" si="4"/>
        <v>54</v>
      </c>
      <c r="B67" s="92">
        <f t="shared" si="0"/>
        <v>212081.78465183504</v>
      </c>
      <c r="C67" s="92">
        <f t="shared" si="1"/>
        <v>158254.77060332845</v>
      </c>
      <c r="D67" s="92">
        <f t="shared" si="2"/>
        <v>53827.014048506586</v>
      </c>
      <c r="E67" s="92">
        <f t="shared" si="3"/>
        <v>5514438.7342077615</v>
      </c>
      <c r="F67">
        <f t="shared" si="5"/>
        <v>5</v>
      </c>
      <c r="G67" s="92">
        <f t="shared" si="6"/>
        <v>6</v>
      </c>
    </row>
    <row r="68" spans="1:7" x14ac:dyDescent="0.35">
      <c r="A68">
        <f t="shared" si="4"/>
        <v>55</v>
      </c>
      <c r="B68" s="92">
        <f t="shared" si="0"/>
        <v>212081.78465183498</v>
      </c>
      <c r="C68" s="92">
        <f t="shared" si="1"/>
        <v>159756.41735249333</v>
      </c>
      <c r="D68" s="92">
        <f t="shared" si="2"/>
        <v>52325.367299341662</v>
      </c>
      <c r="E68" s="92">
        <f t="shared" si="3"/>
        <v>5354682.3168552695</v>
      </c>
      <c r="F68">
        <f t="shared" si="5"/>
        <v>5</v>
      </c>
      <c r="G68" s="92">
        <f t="shared" si="6"/>
        <v>7</v>
      </c>
    </row>
    <row r="69" spans="1:7" x14ac:dyDescent="0.35">
      <c r="A69">
        <f t="shared" si="4"/>
        <v>56</v>
      </c>
      <c r="B69" s="92">
        <f t="shared" si="0"/>
        <v>212081.78465183498</v>
      </c>
      <c r="C69" s="92">
        <f t="shared" si="1"/>
        <v>161272.31291672197</v>
      </c>
      <c r="D69" s="92">
        <f t="shared" si="2"/>
        <v>50809.471735113017</v>
      </c>
      <c r="E69" s="92">
        <f t="shared" si="3"/>
        <v>5193410.0039385464</v>
      </c>
      <c r="F69">
        <f t="shared" si="5"/>
        <v>5</v>
      </c>
      <c r="G69" s="92">
        <f t="shared" si="6"/>
        <v>8</v>
      </c>
    </row>
    <row r="70" spans="1:7" x14ac:dyDescent="0.35">
      <c r="A70">
        <f t="shared" si="4"/>
        <v>57</v>
      </c>
      <c r="B70" s="92">
        <f t="shared" si="0"/>
        <v>212081.78465183498</v>
      </c>
      <c r="C70" s="92">
        <f t="shared" si="1"/>
        <v>162802.59250007002</v>
      </c>
      <c r="D70" s="92">
        <f t="shared" si="2"/>
        <v>49279.192151764961</v>
      </c>
      <c r="E70" s="92">
        <f t="shared" si="3"/>
        <v>5030607.4114384744</v>
      </c>
      <c r="F70">
        <f t="shared" si="5"/>
        <v>5</v>
      </c>
      <c r="G70" s="92">
        <f t="shared" si="6"/>
        <v>9</v>
      </c>
    </row>
    <row r="71" spans="1:7" x14ac:dyDescent="0.35">
      <c r="A71">
        <f t="shared" si="4"/>
        <v>58</v>
      </c>
      <c r="B71" s="92">
        <f t="shared" si="0"/>
        <v>212081.78465183504</v>
      </c>
      <c r="C71" s="92">
        <f t="shared" si="1"/>
        <v>164347.39258951653</v>
      </c>
      <c r="D71" s="92">
        <f t="shared" si="2"/>
        <v>47734.392062318504</v>
      </c>
      <c r="E71" s="92">
        <f t="shared" si="3"/>
        <v>4866260.0188489594</v>
      </c>
      <c r="F71">
        <f t="shared" si="5"/>
        <v>5</v>
      </c>
      <c r="G71" s="92">
        <f t="shared" si="6"/>
        <v>10</v>
      </c>
    </row>
    <row r="72" spans="1:7" x14ac:dyDescent="0.35">
      <c r="A72">
        <f t="shared" si="4"/>
        <v>59</v>
      </c>
      <c r="B72" s="92">
        <f t="shared" si="0"/>
        <v>212081.78465183504</v>
      </c>
      <c r="C72" s="92">
        <f t="shared" si="1"/>
        <v>165906.85096713708</v>
      </c>
      <c r="D72" s="92">
        <f t="shared" si="2"/>
        <v>46174.93368469795</v>
      </c>
      <c r="E72" s="92">
        <f t="shared" si="3"/>
        <v>4700353.1678818213</v>
      </c>
      <c r="F72">
        <f t="shared" si="5"/>
        <v>5</v>
      </c>
      <c r="G72" s="92">
        <f t="shared" si="6"/>
        <v>11</v>
      </c>
    </row>
    <row r="73" spans="1:7" x14ac:dyDescent="0.35">
      <c r="A73">
        <f t="shared" si="4"/>
        <v>60</v>
      </c>
      <c r="B73" s="92">
        <f t="shared" si="0"/>
        <v>212081.78465183501</v>
      </c>
      <c r="C73" s="92">
        <f t="shared" si="1"/>
        <v>167481.10672239296</v>
      </c>
      <c r="D73" s="92">
        <f t="shared" si="2"/>
        <v>44600.677929442056</v>
      </c>
      <c r="E73" s="92">
        <f t="shared" si="3"/>
        <v>4532872.0611594291</v>
      </c>
      <c r="F73">
        <f t="shared" si="5"/>
        <v>5</v>
      </c>
      <c r="G73" s="92">
        <f t="shared" si="6"/>
        <v>12</v>
      </c>
    </row>
    <row r="74" spans="1:7" x14ac:dyDescent="0.35">
      <c r="A74">
        <f t="shared" si="4"/>
        <v>61</v>
      </c>
      <c r="B74" s="92">
        <f t="shared" si="0"/>
        <v>212081.78465183498</v>
      </c>
      <c r="C74" s="92">
        <f t="shared" si="1"/>
        <v>169070.30026453652</v>
      </c>
      <c r="D74" s="92">
        <f t="shared" si="2"/>
        <v>43011.484387298449</v>
      </c>
      <c r="E74" s="92">
        <f t="shared" si="3"/>
        <v>4363801.7608948918</v>
      </c>
      <c r="F74">
        <f t="shared" si="5"/>
        <v>6</v>
      </c>
      <c r="G74" s="92">
        <f t="shared" si="6"/>
        <v>1</v>
      </c>
    </row>
    <row r="75" spans="1:7" x14ac:dyDescent="0.35">
      <c r="A75">
        <f t="shared" si="4"/>
        <v>62</v>
      </c>
      <c r="B75" s="92">
        <f t="shared" si="0"/>
        <v>212081.78465183501</v>
      </c>
      <c r="C75" s="92">
        <f t="shared" si="1"/>
        <v>170674.57333513451</v>
      </c>
      <c r="D75" s="92">
        <f t="shared" si="2"/>
        <v>41407.211316700494</v>
      </c>
      <c r="E75" s="92">
        <f t="shared" si="3"/>
        <v>4193127.1875597583</v>
      </c>
      <c r="F75">
        <f t="shared" si="5"/>
        <v>6</v>
      </c>
      <c r="G75" s="92">
        <f t="shared" si="6"/>
        <v>2</v>
      </c>
    </row>
    <row r="76" spans="1:7" x14ac:dyDescent="0.35">
      <c r="A76">
        <f t="shared" si="4"/>
        <v>63</v>
      </c>
      <c r="B76" s="92">
        <f t="shared" si="0"/>
        <v>212081.78465183498</v>
      </c>
      <c r="C76" s="92">
        <f t="shared" si="1"/>
        <v>172294.0690207099</v>
      </c>
      <c r="D76" s="92">
        <f t="shared" si="2"/>
        <v>39787.715631125095</v>
      </c>
      <c r="E76" s="92">
        <f t="shared" si="3"/>
        <v>4020833.1185390474</v>
      </c>
      <c r="F76">
        <f t="shared" si="5"/>
        <v>6</v>
      </c>
      <c r="G76" s="92">
        <f t="shared" si="6"/>
        <v>3</v>
      </c>
    </row>
    <row r="77" spans="1:7" x14ac:dyDescent="0.35">
      <c r="A77">
        <f t="shared" si="4"/>
        <v>64</v>
      </c>
      <c r="B77" s="92">
        <f t="shared" si="0"/>
        <v>212081.78465183498</v>
      </c>
      <c r="C77" s="92">
        <f t="shared" si="1"/>
        <v>173928.93176550418</v>
      </c>
      <c r="D77" s="92">
        <f t="shared" si="2"/>
        <v>38152.852886330817</v>
      </c>
      <c r="E77" s="92">
        <f t="shared" si="3"/>
        <v>3846904.1867735442</v>
      </c>
      <c r="F77">
        <f t="shared" si="5"/>
        <v>6</v>
      </c>
      <c r="G77" s="92">
        <f t="shared" si="6"/>
        <v>4</v>
      </c>
    </row>
    <row r="78" spans="1:7" x14ac:dyDescent="0.35">
      <c r="A78">
        <f t="shared" si="4"/>
        <v>65</v>
      </c>
      <c r="B78" s="92">
        <f t="shared" si="0"/>
        <v>212081.78465183498</v>
      </c>
      <c r="C78" s="92">
        <f t="shared" si="1"/>
        <v>175579.30738436026</v>
      </c>
      <c r="D78" s="92">
        <f t="shared" si="2"/>
        <v>36502.477267474722</v>
      </c>
      <c r="E78" s="92">
        <f t="shared" si="3"/>
        <v>3671324.8793891817</v>
      </c>
      <c r="F78">
        <f t="shared" si="5"/>
        <v>6</v>
      </c>
      <c r="G78" s="92">
        <f t="shared" si="6"/>
        <v>5</v>
      </c>
    </row>
    <row r="79" spans="1:7" x14ac:dyDescent="0.35">
      <c r="A79">
        <f t="shared" si="4"/>
        <v>66</v>
      </c>
      <c r="B79" s="92">
        <f t="shared" ref="B79:B133" si="7">IF(A79&lt;&gt;"-",C79+D79,"")</f>
        <v>212081.78465183498</v>
      </c>
      <c r="C79" s="92">
        <f t="shared" ref="C79:C133" si="8">IF(A79&lt;&gt;"-",-PPMT((1+$B$2)^(1/12)-1,A79,$B$4*12,$B$3),"")</f>
        <v>177245.34307572799</v>
      </c>
      <c r="D79" s="92">
        <f t="shared" ref="D79:D133" si="9">IF(A79&lt;&gt;"-",-IPMT((1+$B$2)^(1/12)-1,A79,$B$4*12,$B$3),"")</f>
        <v>34836.441576107012</v>
      </c>
      <c r="E79" s="92">
        <f t="shared" ref="E79:E133" si="10">IF(A79&lt;&gt;"-",$B$3+CUMPRINC((1+$B$2)^(1/12)-1,$B$4*12,$B$3,1,A79,0),"")</f>
        <v>3494079.5363134537</v>
      </c>
      <c r="F79">
        <f t="shared" si="5"/>
        <v>6</v>
      </c>
      <c r="G79" s="92">
        <f t="shared" si="6"/>
        <v>6</v>
      </c>
    </row>
    <row r="80" spans="1:7" x14ac:dyDescent="0.35">
      <c r="A80">
        <f t="shared" ref="A80:A133" si="11">IF(AND($B$4&lt;&gt;0,A79&lt;$C$4),A79+1,"-")</f>
        <v>67</v>
      </c>
      <c r="B80" s="92">
        <f t="shared" si="7"/>
        <v>212081.78465183504</v>
      </c>
      <c r="C80" s="92">
        <f t="shared" si="8"/>
        <v>178927.18743479272</v>
      </c>
      <c r="D80" s="92">
        <f t="shared" si="9"/>
        <v>33154.597217042312</v>
      </c>
      <c r="E80" s="92">
        <f t="shared" si="10"/>
        <v>3315152.348878663</v>
      </c>
      <c r="F80">
        <f t="shared" ref="F80:F133" si="12">IF(A80&lt;&gt;"-",IF(G79&lt;G80,F79,F79+1),"")</f>
        <v>6</v>
      </c>
      <c r="G80" s="92">
        <f t="shared" ref="G80:G133" si="13">IF(A80="-","",IF(G79&lt;12,G79+1,1))</f>
        <v>7</v>
      </c>
    </row>
    <row r="81" spans="1:7" x14ac:dyDescent="0.35">
      <c r="A81">
        <f t="shared" si="11"/>
        <v>68</v>
      </c>
      <c r="B81" s="92">
        <f t="shared" si="7"/>
        <v>212081.78465183501</v>
      </c>
      <c r="C81" s="92">
        <f t="shared" si="8"/>
        <v>180624.99046672878</v>
      </c>
      <c r="D81" s="92">
        <f t="shared" si="9"/>
        <v>31456.794185106224</v>
      </c>
      <c r="E81" s="92">
        <f t="shared" si="10"/>
        <v>3134527.3584119342</v>
      </c>
      <c r="F81">
        <f t="shared" si="12"/>
        <v>6</v>
      </c>
      <c r="G81" s="92">
        <f t="shared" si="13"/>
        <v>8</v>
      </c>
    </row>
    <row r="82" spans="1:7" x14ac:dyDescent="0.35">
      <c r="A82">
        <f t="shared" si="11"/>
        <v>69</v>
      </c>
      <c r="B82" s="92">
        <f t="shared" si="7"/>
        <v>212081.78465183504</v>
      </c>
      <c r="C82" s="92">
        <f t="shared" si="8"/>
        <v>182338.90360007863</v>
      </c>
      <c r="D82" s="92">
        <f t="shared" si="9"/>
        <v>29742.881051756402</v>
      </c>
      <c r="E82" s="92">
        <f t="shared" si="10"/>
        <v>2952188.4548118562</v>
      </c>
      <c r="F82">
        <f t="shared" si="12"/>
        <v>6</v>
      </c>
      <c r="G82" s="92">
        <f t="shared" si="13"/>
        <v>9</v>
      </c>
    </row>
    <row r="83" spans="1:7" x14ac:dyDescent="0.35">
      <c r="A83">
        <f t="shared" si="11"/>
        <v>70</v>
      </c>
      <c r="B83" s="92">
        <f t="shared" si="7"/>
        <v>212081.78465183501</v>
      </c>
      <c r="C83" s="92">
        <f t="shared" si="8"/>
        <v>184069.07970025865</v>
      </c>
      <c r="D83" s="92">
        <f t="shared" si="9"/>
        <v>28012.704951576361</v>
      </c>
      <c r="E83" s="92">
        <f t="shared" si="10"/>
        <v>2768119.3751115967</v>
      </c>
      <c r="F83">
        <f t="shared" si="12"/>
        <v>6</v>
      </c>
      <c r="G83" s="92">
        <f t="shared" si="13"/>
        <v>10</v>
      </c>
    </row>
    <row r="84" spans="1:7" x14ac:dyDescent="0.35">
      <c r="A84">
        <f t="shared" si="11"/>
        <v>71</v>
      </c>
      <c r="B84" s="92">
        <f t="shared" si="7"/>
        <v>212081.78465183498</v>
      </c>
      <c r="C84" s="92">
        <f t="shared" si="8"/>
        <v>185815.67308319366</v>
      </c>
      <c r="D84" s="92">
        <f t="shared" si="9"/>
        <v>26266.111568641336</v>
      </c>
      <c r="E84" s="92">
        <f t="shared" si="10"/>
        <v>2582303.7020284031</v>
      </c>
      <c r="F84">
        <f t="shared" si="12"/>
        <v>6</v>
      </c>
      <c r="G84" s="92">
        <f t="shared" si="13"/>
        <v>11</v>
      </c>
    </row>
    <row r="85" spans="1:7" x14ac:dyDescent="0.35">
      <c r="A85">
        <f t="shared" si="11"/>
        <v>72</v>
      </c>
      <c r="B85" s="92">
        <f t="shared" si="7"/>
        <v>212081.78465183498</v>
      </c>
      <c r="C85" s="92">
        <f t="shared" si="8"/>
        <v>187578.83952908026</v>
      </c>
      <c r="D85" s="92">
        <f t="shared" si="9"/>
        <v>24502.945122754736</v>
      </c>
      <c r="E85" s="92">
        <f t="shared" si="10"/>
        <v>2394724.8624993227</v>
      </c>
      <c r="F85">
        <f t="shared" si="12"/>
        <v>6</v>
      </c>
      <c r="G85" s="92">
        <f t="shared" si="13"/>
        <v>12</v>
      </c>
    </row>
    <row r="86" spans="1:7" x14ac:dyDescent="0.35">
      <c r="A86">
        <f t="shared" si="11"/>
        <v>73</v>
      </c>
      <c r="B86" s="92">
        <f t="shared" si="7"/>
        <v>212081.78465183501</v>
      </c>
      <c r="C86" s="92">
        <f t="shared" si="8"/>
        <v>189358.7362962811</v>
      </c>
      <c r="D86" s="92">
        <f t="shared" si="9"/>
        <v>22723.04835555391</v>
      </c>
      <c r="E86" s="92">
        <f t="shared" si="10"/>
        <v>2205366.1262030397</v>
      </c>
      <c r="F86">
        <f t="shared" si="12"/>
        <v>7</v>
      </c>
      <c r="G86" s="92">
        <f t="shared" si="13"/>
        <v>1</v>
      </c>
    </row>
    <row r="87" spans="1:7" x14ac:dyDescent="0.35">
      <c r="A87">
        <f t="shared" si="11"/>
        <v>74</v>
      </c>
      <c r="B87" s="92">
        <f t="shared" si="7"/>
        <v>212081.78465183498</v>
      </c>
      <c r="C87" s="92">
        <f t="shared" si="8"/>
        <v>191155.52213535079</v>
      </c>
      <c r="D87" s="92">
        <f t="shared" si="9"/>
        <v>20926.262516484188</v>
      </c>
      <c r="E87" s="92">
        <f t="shared" si="10"/>
        <v>2014210.6040676888</v>
      </c>
      <c r="F87">
        <f t="shared" si="12"/>
        <v>7</v>
      </c>
      <c r="G87" s="92">
        <f t="shared" si="13"/>
        <v>2</v>
      </c>
    </row>
    <row r="88" spans="1:7" x14ac:dyDescent="0.35">
      <c r="A88">
        <f t="shared" si="11"/>
        <v>75</v>
      </c>
      <c r="B88" s="92">
        <f t="shared" si="7"/>
        <v>212081.78465183498</v>
      </c>
      <c r="C88" s="92">
        <f t="shared" si="8"/>
        <v>192969.35730319525</v>
      </c>
      <c r="D88" s="92">
        <f t="shared" si="9"/>
        <v>19112.42734863974</v>
      </c>
      <c r="E88" s="92">
        <f t="shared" si="10"/>
        <v>1821241.2467644941</v>
      </c>
      <c r="F88">
        <f t="shared" si="12"/>
        <v>7</v>
      </c>
      <c r="G88" s="92">
        <f t="shared" si="13"/>
        <v>3</v>
      </c>
    </row>
    <row r="89" spans="1:7" x14ac:dyDescent="0.35">
      <c r="A89">
        <f t="shared" si="11"/>
        <v>76</v>
      </c>
      <c r="B89" s="92">
        <f t="shared" si="7"/>
        <v>212081.78465183501</v>
      </c>
      <c r="C89" s="92">
        <f t="shared" si="8"/>
        <v>194800.40357736486</v>
      </c>
      <c r="D89" s="92">
        <f t="shared" si="9"/>
        <v>17281.381074470148</v>
      </c>
      <c r="E89" s="92">
        <f t="shared" si="10"/>
        <v>1626440.8431871291</v>
      </c>
      <c r="F89">
        <f t="shared" si="12"/>
        <v>7</v>
      </c>
      <c r="G89" s="92">
        <f t="shared" si="13"/>
        <v>4</v>
      </c>
    </row>
    <row r="90" spans="1:7" x14ac:dyDescent="0.35">
      <c r="A90">
        <f t="shared" si="11"/>
        <v>77</v>
      </c>
      <c r="B90" s="92">
        <f t="shared" si="7"/>
        <v>212081.78465183501</v>
      </c>
      <c r="C90" s="92">
        <f t="shared" si="8"/>
        <v>196648.82427048369</v>
      </c>
      <c r="D90" s="92">
        <f t="shared" si="9"/>
        <v>15432.96038135132</v>
      </c>
      <c r="E90" s="92">
        <f t="shared" si="10"/>
        <v>1429792.0189166479</v>
      </c>
      <c r="F90">
        <f t="shared" si="12"/>
        <v>7</v>
      </c>
      <c r="G90" s="92">
        <f t="shared" si="13"/>
        <v>5</v>
      </c>
    </row>
    <row r="91" spans="1:7" x14ac:dyDescent="0.35">
      <c r="A91">
        <f t="shared" si="11"/>
        <v>78</v>
      </c>
      <c r="B91" s="92">
        <f t="shared" si="7"/>
        <v>212081.78465183501</v>
      </c>
      <c r="C91" s="92">
        <f t="shared" si="8"/>
        <v>198514.78424481553</v>
      </c>
      <c r="D91" s="92">
        <f t="shared" si="9"/>
        <v>13567.00040701949</v>
      </c>
      <c r="E91" s="92">
        <f t="shared" si="10"/>
        <v>1231277.234671833</v>
      </c>
      <c r="F91">
        <f t="shared" si="12"/>
        <v>7</v>
      </c>
      <c r="G91" s="92">
        <f t="shared" si="13"/>
        <v>6</v>
      </c>
    </row>
    <row r="92" spans="1:7" x14ac:dyDescent="0.35">
      <c r="A92">
        <f t="shared" si="11"/>
        <v>79</v>
      </c>
      <c r="B92" s="92">
        <f t="shared" si="7"/>
        <v>212081.78465183504</v>
      </c>
      <c r="C92" s="92">
        <f t="shared" si="8"/>
        <v>200398.44992696802</v>
      </c>
      <c r="D92" s="92">
        <f t="shared" si="9"/>
        <v>11683.334724867009</v>
      </c>
      <c r="E92" s="92">
        <f t="shared" si="10"/>
        <v>1030878.7847448606</v>
      </c>
      <c r="F92">
        <f t="shared" si="12"/>
        <v>7</v>
      </c>
      <c r="G92" s="92">
        <f t="shared" si="13"/>
        <v>7</v>
      </c>
    </row>
    <row r="93" spans="1:7" x14ac:dyDescent="0.35">
      <c r="A93">
        <f t="shared" si="11"/>
        <v>80</v>
      </c>
      <c r="B93" s="92">
        <f t="shared" si="7"/>
        <v>212081.78465183498</v>
      </c>
      <c r="C93" s="92">
        <f t="shared" si="8"/>
        <v>202299.98932273639</v>
      </c>
      <c r="D93" s="92">
        <f t="shared" si="9"/>
        <v>9781.7953290986025</v>
      </c>
      <c r="E93" s="92">
        <f t="shared" si="10"/>
        <v>828578.79542212747</v>
      </c>
      <c r="F93">
        <f t="shared" si="12"/>
        <v>7</v>
      </c>
      <c r="G93" s="92">
        <f t="shared" si="13"/>
        <v>8</v>
      </c>
    </row>
    <row r="94" spans="1:7" x14ac:dyDescent="0.35">
      <c r="A94">
        <f t="shared" si="11"/>
        <v>81</v>
      </c>
      <c r="B94" s="92">
        <f t="shared" si="7"/>
        <v>212081.78465183501</v>
      </c>
      <c r="C94" s="92">
        <f t="shared" si="8"/>
        <v>204219.57203208821</v>
      </c>
      <c r="D94" s="92">
        <f t="shared" si="9"/>
        <v>7862.2126197467933</v>
      </c>
      <c r="E94" s="92">
        <f t="shared" si="10"/>
        <v>624359.22339003906</v>
      </c>
      <c r="F94">
        <f t="shared" si="12"/>
        <v>7</v>
      </c>
      <c r="G94" s="92">
        <f t="shared" si="13"/>
        <v>9</v>
      </c>
    </row>
    <row r="95" spans="1:7" x14ac:dyDescent="0.35">
      <c r="A95">
        <f t="shared" si="11"/>
        <v>82</v>
      </c>
      <c r="B95" s="92">
        <f t="shared" si="7"/>
        <v>212081.78465183501</v>
      </c>
      <c r="C95" s="92">
        <f t="shared" si="8"/>
        <v>206157.36926428988</v>
      </c>
      <c r="D95" s="92">
        <f t="shared" si="9"/>
        <v>5924.4153875451402</v>
      </c>
      <c r="E95" s="92">
        <f t="shared" si="10"/>
        <v>418201.85412574932</v>
      </c>
      <c r="F95">
        <f t="shared" si="12"/>
        <v>7</v>
      </c>
      <c r="G95" s="92">
        <f t="shared" si="13"/>
        <v>10</v>
      </c>
    </row>
    <row r="96" spans="1:7" x14ac:dyDescent="0.35">
      <c r="A96">
        <f t="shared" si="11"/>
        <v>83</v>
      </c>
      <c r="B96" s="92">
        <f t="shared" si="7"/>
        <v>212081.78465183501</v>
      </c>
      <c r="C96" s="92">
        <f t="shared" si="8"/>
        <v>208113.55385317709</v>
      </c>
      <c r="D96" s="92">
        <f t="shared" si="9"/>
        <v>3968.2307986579199</v>
      </c>
      <c r="E96" s="92">
        <f t="shared" si="10"/>
        <v>210088.30027257279</v>
      </c>
      <c r="F96">
        <f t="shared" si="12"/>
        <v>7</v>
      </c>
      <c r="G96" s="92">
        <f t="shared" si="13"/>
        <v>11</v>
      </c>
    </row>
    <row r="97" spans="1:7" x14ac:dyDescent="0.35">
      <c r="A97">
        <f t="shared" si="11"/>
        <v>84</v>
      </c>
      <c r="B97" s="92">
        <f t="shared" si="7"/>
        <v>212081.78465183501</v>
      </c>
      <c r="C97" s="92">
        <f t="shared" si="8"/>
        <v>210088.30027257008</v>
      </c>
      <c r="D97" s="92">
        <f t="shared" si="9"/>
        <v>1993.4843792649244</v>
      </c>
      <c r="E97" s="92">
        <f t="shared" si="10"/>
        <v>0</v>
      </c>
      <c r="F97">
        <f t="shared" si="12"/>
        <v>7</v>
      </c>
      <c r="G97" s="92">
        <f t="shared" si="13"/>
        <v>12</v>
      </c>
    </row>
    <row r="98" spans="1:7" x14ac:dyDescent="0.35">
      <c r="A98" t="str">
        <f t="shared" si="11"/>
        <v>-</v>
      </c>
      <c r="B98" s="92" t="str">
        <f t="shared" si="7"/>
        <v/>
      </c>
      <c r="C98" s="92" t="str">
        <f t="shared" si="8"/>
        <v/>
      </c>
      <c r="D98" s="92" t="str">
        <f t="shared" si="9"/>
        <v/>
      </c>
      <c r="E98" s="92" t="str">
        <f t="shared" si="10"/>
        <v/>
      </c>
      <c r="F98" t="str">
        <f t="shared" si="12"/>
        <v/>
      </c>
      <c r="G98" s="92" t="str">
        <f t="shared" si="13"/>
        <v/>
      </c>
    </row>
    <row r="99" spans="1:7" x14ac:dyDescent="0.35">
      <c r="A99" t="str">
        <f t="shared" si="11"/>
        <v>-</v>
      </c>
      <c r="B99" s="92" t="str">
        <f t="shared" si="7"/>
        <v/>
      </c>
      <c r="C99" s="92" t="str">
        <f t="shared" si="8"/>
        <v/>
      </c>
      <c r="D99" s="92" t="str">
        <f t="shared" si="9"/>
        <v/>
      </c>
      <c r="E99" s="92" t="str">
        <f t="shared" si="10"/>
        <v/>
      </c>
      <c r="F99" t="str">
        <f t="shared" si="12"/>
        <v/>
      </c>
      <c r="G99" s="92" t="str">
        <f t="shared" si="13"/>
        <v/>
      </c>
    </row>
    <row r="100" spans="1:7" x14ac:dyDescent="0.35">
      <c r="A100" t="str">
        <f t="shared" si="11"/>
        <v>-</v>
      </c>
      <c r="B100" s="92" t="str">
        <f t="shared" si="7"/>
        <v/>
      </c>
      <c r="C100" s="92" t="str">
        <f t="shared" si="8"/>
        <v/>
      </c>
      <c r="D100" s="92" t="str">
        <f t="shared" si="9"/>
        <v/>
      </c>
      <c r="E100" s="92" t="str">
        <f t="shared" si="10"/>
        <v/>
      </c>
      <c r="F100" t="str">
        <f t="shared" si="12"/>
        <v/>
      </c>
      <c r="G100" s="92" t="str">
        <f t="shared" si="13"/>
        <v/>
      </c>
    </row>
    <row r="101" spans="1:7" x14ac:dyDescent="0.35">
      <c r="A101" t="str">
        <f t="shared" si="11"/>
        <v>-</v>
      </c>
      <c r="B101" s="92" t="str">
        <f t="shared" si="7"/>
        <v/>
      </c>
      <c r="C101" s="92" t="str">
        <f t="shared" si="8"/>
        <v/>
      </c>
      <c r="D101" s="92" t="str">
        <f t="shared" si="9"/>
        <v/>
      </c>
      <c r="E101" s="92" t="str">
        <f t="shared" si="10"/>
        <v/>
      </c>
      <c r="F101" t="str">
        <f t="shared" si="12"/>
        <v/>
      </c>
      <c r="G101" s="92" t="str">
        <f t="shared" si="13"/>
        <v/>
      </c>
    </row>
    <row r="102" spans="1:7" x14ac:dyDescent="0.35">
      <c r="A102" t="str">
        <f t="shared" si="11"/>
        <v>-</v>
      </c>
      <c r="B102" s="92" t="str">
        <f t="shared" si="7"/>
        <v/>
      </c>
      <c r="C102" s="92" t="str">
        <f t="shared" si="8"/>
        <v/>
      </c>
      <c r="D102" s="92" t="str">
        <f t="shared" si="9"/>
        <v/>
      </c>
      <c r="E102" s="92" t="str">
        <f t="shared" si="10"/>
        <v/>
      </c>
      <c r="F102" t="str">
        <f t="shared" si="12"/>
        <v/>
      </c>
      <c r="G102" s="92" t="str">
        <f t="shared" si="13"/>
        <v/>
      </c>
    </row>
    <row r="103" spans="1:7" x14ac:dyDescent="0.35">
      <c r="A103" t="str">
        <f t="shared" si="11"/>
        <v>-</v>
      </c>
      <c r="B103" s="92" t="str">
        <f t="shared" si="7"/>
        <v/>
      </c>
      <c r="C103" s="92" t="str">
        <f t="shared" si="8"/>
        <v/>
      </c>
      <c r="D103" s="92" t="str">
        <f t="shared" si="9"/>
        <v/>
      </c>
      <c r="E103" s="92" t="str">
        <f t="shared" si="10"/>
        <v/>
      </c>
      <c r="F103" t="str">
        <f t="shared" si="12"/>
        <v/>
      </c>
      <c r="G103" s="92" t="str">
        <f t="shared" si="13"/>
        <v/>
      </c>
    </row>
    <row r="104" spans="1:7" x14ac:dyDescent="0.35">
      <c r="A104" t="str">
        <f t="shared" si="11"/>
        <v>-</v>
      </c>
      <c r="B104" s="92" t="str">
        <f t="shared" si="7"/>
        <v/>
      </c>
      <c r="C104" s="92" t="str">
        <f t="shared" si="8"/>
        <v/>
      </c>
      <c r="D104" s="92" t="str">
        <f t="shared" si="9"/>
        <v/>
      </c>
      <c r="E104" s="92" t="str">
        <f t="shared" si="10"/>
        <v/>
      </c>
      <c r="F104" t="str">
        <f t="shared" si="12"/>
        <v/>
      </c>
      <c r="G104" s="92" t="str">
        <f t="shared" si="13"/>
        <v/>
      </c>
    </row>
    <row r="105" spans="1:7" x14ac:dyDescent="0.35">
      <c r="A105" t="str">
        <f t="shared" si="11"/>
        <v>-</v>
      </c>
      <c r="B105" s="92" t="str">
        <f t="shared" si="7"/>
        <v/>
      </c>
      <c r="C105" s="92" t="str">
        <f t="shared" si="8"/>
        <v/>
      </c>
      <c r="D105" s="92" t="str">
        <f t="shared" si="9"/>
        <v/>
      </c>
      <c r="E105" s="92" t="str">
        <f t="shared" si="10"/>
        <v/>
      </c>
      <c r="F105" t="str">
        <f t="shared" si="12"/>
        <v/>
      </c>
      <c r="G105" s="92" t="str">
        <f t="shared" si="13"/>
        <v/>
      </c>
    </row>
    <row r="106" spans="1:7" x14ac:dyDescent="0.35">
      <c r="A106" t="str">
        <f t="shared" si="11"/>
        <v>-</v>
      </c>
      <c r="B106" s="92" t="str">
        <f t="shared" si="7"/>
        <v/>
      </c>
      <c r="C106" s="92" t="str">
        <f t="shared" si="8"/>
        <v/>
      </c>
      <c r="D106" s="92" t="str">
        <f t="shared" si="9"/>
        <v/>
      </c>
      <c r="E106" s="92" t="str">
        <f t="shared" si="10"/>
        <v/>
      </c>
      <c r="F106" t="str">
        <f t="shared" si="12"/>
        <v/>
      </c>
      <c r="G106" s="92" t="str">
        <f t="shared" si="13"/>
        <v/>
      </c>
    </row>
    <row r="107" spans="1:7" x14ac:dyDescent="0.35">
      <c r="A107" t="str">
        <f t="shared" si="11"/>
        <v>-</v>
      </c>
      <c r="B107" s="92" t="str">
        <f t="shared" si="7"/>
        <v/>
      </c>
      <c r="C107" s="92" t="str">
        <f t="shared" si="8"/>
        <v/>
      </c>
      <c r="D107" s="92" t="str">
        <f t="shared" si="9"/>
        <v/>
      </c>
      <c r="E107" s="92" t="str">
        <f t="shared" si="10"/>
        <v/>
      </c>
      <c r="F107" t="str">
        <f t="shared" si="12"/>
        <v/>
      </c>
      <c r="G107" s="92" t="str">
        <f t="shared" si="13"/>
        <v/>
      </c>
    </row>
    <row r="108" spans="1:7" x14ac:dyDescent="0.35">
      <c r="A108" t="str">
        <f t="shared" si="11"/>
        <v>-</v>
      </c>
      <c r="B108" s="92" t="str">
        <f t="shared" si="7"/>
        <v/>
      </c>
      <c r="C108" s="92" t="str">
        <f t="shared" si="8"/>
        <v/>
      </c>
      <c r="D108" s="92" t="str">
        <f t="shared" si="9"/>
        <v/>
      </c>
      <c r="E108" s="92" t="str">
        <f t="shared" si="10"/>
        <v/>
      </c>
      <c r="F108" t="str">
        <f t="shared" si="12"/>
        <v/>
      </c>
      <c r="G108" s="92" t="str">
        <f t="shared" si="13"/>
        <v/>
      </c>
    </row>
    <row r="109" spans="1:7" x14ac:dyDescent="0.35">
      <c r="A109" t="str">
        <f t="shared" si="11"/>
        <v>-</v>
      </c>
      <c r="B109" s="92" t="str">
        <f t="shared" si="7"/>
        <v/>
      </c>
      <c r="C109" s="92" t="str">
        <f t="shared" si="8"/>
        <v/>
      </c>
      <c r="D109" s="92" t="str">
        <f t="shared" si="9"/>
        <v/>
      </c>
      <c r="E109" s="92" t="str">
        <f t="shared" si="10"/>
        <v/>
      </c>
      <c r="F109" t="str">
        <f t="shared" si="12"/>
        <v/>
      </c>
      <c r="G109" s="92" t="str">
        <f t="shared" si="13"/>
        <v/>
      </c>
    </row>
    <row r="110" spans="1:7" x14ac:dyDescent="0.35">
      <c r="A110" t="str">
        <f t="shared" si="11"/>
        <v>-</v>
      </c>
      <c r="B110" s="92" t="str">
        <f t="shared" si="7"/>
        <v/>
      </c>
      <c r="C110" s="92" t="str">
        <f t="shared" si="8"/>
        <v/>
      </c>
      <c r="D110" s="92" t="str">
        <f t="shared" si="9"/>
        <v/>
      </c>
      <c r="E110" s="92" t="str">
        <f t="shared" si="10"/>
        <v/>
      </c>
      <c r="F110" t="str">
        <f t="shared" si="12"/>
        <v/>
      </c>
      <c r="G110" s="92" t="str">
        <f t="shared" si="13"/>
        <v/>
      </c>
    </row>
    <row r="111" spans="1:7" x14ac:dyDescent="0.35">
      <c r="A111" t="str">
        <f t="shared" si="11"/>
        <v>-</v>
      </c>
      <c r="B111" s="92" t="str">
        <f t="shared" si="7"/>
        <v/>
      </c>
      <c r="C111" s="92" t="str">
        <f t="shared" si="8"/>
        <v/>
      </c>
      <c r="D111" s="92" t="str">
        <f t="shared" si="9"/>
        <v/>
      </c>
      <c r="E111" s="92" t="str">
        <f t="shared" si="10"/>
        <v/>
      </c>
      <c r="F111" t="str">
        <f t="shared" si="12"/>
        <v/>
      </c>
      <c r="G111" s="92" t="str">
        <f t="shared" si="13"/>
        <v/>
      </c>
    </row>
    <row r="112" spans="1:7" x14ac:dyDescent="0.35">
      <c r="A112" t="str">
        <f t="shared" si="11"/>
        <v>-</v>
      </c>
      <c r="B112" s="92" t="str">
        <f t="shared" si="7"/>
        <v/>
      </c>
      <c r="C112" s="92" t="str">
        <f t="shared" si="8"/>
        <v/>
      </c>
      <c r="D112" s="92" t="str">
        <f t="shared" si="9"/>
        <v/>
      </c>
      <c r="E112" s="92" t="str">
        <f t="shared" si="10"/>
        <v/>
      </c>
      <c r="F112" t="str">
        <f t="shared" si="12"/>
        <v/>
      </c>
      <c r="G112" s="92" t="str">
        <f t="shared" si="13"/>
        <v/>
      </c>
    </row>
    <row r="113" spans="1:7" x14ac:dyDescent="0.35">
      <c r="A113" t="str">
        <f t="shared" si="11"/>
        <v>-</v>
      </c>
      <c r="B113" s="92" t="str">
        <f t="shared" si="7"/>
        <v/>
      </c>
      <c r="C113" s="92" t="str">
        <f t="shared" si="8"/>
        <v/>
      </c>
      <c r="D113" s="92" t="str">
        <f t="shared" si="9"/>
        <v/>
      </c>
      <c r="E113" s="92" t="str">
        <f t="shared" si="10"/>
        <v/>
      </c>
      <c r="F113" t="str">
        <f t="shared" si="12"/>
        <v/>
      </c>
      <c r="G113" s="92" t="str">
        <f t="shared" si="13"/>
        <v/>
      </c>
    </row>
    <row r="114" spans="1:7" x14ac:dyDescent="0.35">
      <c r="A114" t="str">
        <f t="shared" si="11"/>
        <v>-</v>
      </c>
      <c r="B114" s="92" t="str">
        <f t="shared" si="7"/>
        <v/>
      </c>
      <c r="C114" s="92" t="str">
        <f t="shared" si="8"/>
        <v/>
      </c>
      <c r="D114" s="92" t="str">
        <f t="shared" si="9"/>
        <v/>
      </c>
      <c r="E114" s="92" t="str">
        <f t="shared" si="10"/>
        <v/>
      </c>
      <c r="F114" t="str">
        <f t="shared" si="12"/>
        <v/>
      </c>
      <c r="G114" s="92" t="str">
        <f t="shared" si="13"/>
        <v/>
      </c>
    </row>
    <row r="115" spans="1:7" x14ac:dyDescent="0.35">
      <c r="A115" t="str">
        <f t="shared" si="11"/>
        <v>-</v>
      </c>
      <c r="B115" s="92" t="str">
        <f t="shared" si="7"/>
        <v/>
      </c>
      <c r="C115" s="92" t="str">
        <f t="shared" si="8"/>
        <v/>
      </c>
      <c r="D115" s="92" t="str">
        <f t="shared" si="9"/>
        <v/>
      </c>
      <c r="E115" s="92" t="str">
        <f t="shared" si="10"/>
        <v/>
      </c>
      <c r="F115" t="str">
        <f t="shared" si="12"/>
        <v/>
      </c>
      <c r="G115" s="92" t="str">
        <f t="shared" si="13"/>
        <v/>
      </c>
    </row>
    <row r="116" spans="1:7" x14ac:dyDescent="0.35">
      <c r="A116" t="str">
        <f t="shared" si="11"/>
        <v>-</v>
      </c>
      <c r="B116" s="92" t="str">
        <f t="shared" si="7"/>
        <v/>
      </c>
      <c r="C116" s="92" t="str">
        <f t="shared" si="8"/>
        <v/>
      </c>
      <c r="D116" s="92" t="str">
        <f t="shared" si="9"/>
        <v/>
      </c>
      <c r="E116" s="92" t="str">
        <f t="shared" si="10"/>
        <v/>
      </c>
      <c r="F116" t="str">
        <f t="shared" si="12"/>
        <v/>
      </c>
      <c r="G116" s="92" t="str">
        <f t="shared" si="13"/>
        <v/>
      </c>
    </row>
    <row r="117" spans="1:7" x14ac:dyDescent="0.35">
      <c r="A117" t="str">
        <f t="shared" si="11"/>
        <v>-</v>
      </c>
      <c r="B117" s="92" t="str">
        <f t="shared" si="7"/>
        <v/>
      </c>
      <c r="C117" s="92" t="str">
        <f t="shared" si="8"/>
        <v/>
      </c>
      <c r="D117" s="92" t="str">
        <f t="shared" si="9"/>
        <v/>
      </c>
      <c r="E117" s="92" t="str">
        <f t="shared" si="10"/>
        <v/>
      </c>
      <c r="F117" t="str">
        <f t="shared" si="12"/>
        <v/>
      </c>
      <c r="G117" s="92" t="str">
        <f t="shared" si="13"/>
        <v/>
      </c>
    </row>
    <row r="118" spans="1:7" x14ac:dyDescent="0.35">
      <c r="A118" t="str">
        <f t="shared" si="11"/>
        <v>-</v>
      </c>
      <c r="B118" s="92" t="str">
        <f t="shared" si="7"/>
        <v/>
      </c>
      <c r="C118" s="92" t="str">
        <f t="shared" si="8"/>
        <v/>
      </c>
      <c r="D118" s="92" t="str">
        <f t="shared" si="9"/>
        <v/>
      </c>
      <c r="E118" s="92" t="str">
        <f t="shared" si="10"/>
        <v/>
      </c>
      <c r="F118" t="str">
        <f t="shared" si="12"/>
        <v/>
      </c>
      <c r="G118" s="92" t="str">
        <f t="shared" si="13"/>
        <v/>
      </c>
    </row>
    <row r="119" spans="1:7" x14ac:dyDescent="0.35">
      <c r="A119" t="str">
        <f t="shared" si="11"/>
        <v>-</v>
      </c>
      <c r="B119" s="92" t="str">
        <f t="shared" si="7"/>
        <v/>
      </c>
      <c r="C119" s="92" t="str">
        <f t="shared" si="8"/>
        <v/>
      </c>
      <c r="D119" s="92" t="str">
        <f t="shared" si="9"/>
        <v/>
      </c>
      <c r="E119" s="92" t="str">
        <f t="shared" si="10"/>
        <v/>
      </c>
      <c r="F119" t="str">
        <f t="shared" si="12"/>
        <v/>
      </c>
      <c r="G119" s="92" t="str">
        <f t="shared" si="13"/>
        <v/>
      </c>
    </row>
    <row r="120" spans="1:7" x14ac:dyDescent="0.35">
      <c r="A120" t="str">
        <f t="shared" si="11"/>
        <v>-</v>
      </c>
      <c r="B120" s="92" t="str">
        <f t="shared" si="7"/>
        <v/>
      </c>
      <c r="C120" s="92" t="str">
        <f t="shared" si="8"/>
        <v/>
      </c>
      <c r="D120" s="92" t="str">
        <f t="shared" si="9"/>
        <v/>
      </c>
      <c r="E120" s="92" t="str">
        <f t="shared" si="10"/>
        <v/>
      </c>
      <c r="F120" t="str">
        <f t="shared" si="12"/>
        <v/>
      </c>
      <c r="G120" s="92" t="str">
        <f t="shared" si="13"/>
        <v/>
      </c>
    </row>
    <row r="121" spans="1:7" x14ac:dyDescent="0.35">
      <c r="A121" t="str">
        <f t="shared" si="11"/>
        <v>-</v>
      </c>
      <c r="B121" s="92" t="str">
        <f t="shared" si="7"/>
        <v/>
      </c>
      <c r="C121" s="92" t="str">
        <f t="shared" si="8"/>
        <v/>
      </c>
      <c r="D121" s="92" t="str">
        <f t="shared" si="9"/>
        <v/>
      </c>
      <c r="E121" s="92" t="str">
        <f t="shared" si="10"/>
        <v/>
      </c>
      <c r="F121" t="str">
        <f t="shared" si="12"/>
        <v/>
      </c>
      <c r="G121" s="92" t="str">
        <f t="shared" si="13"/>
        <v/>
      </c>
    </row>
    <row r="122" spans="1:7" x14ac:dyDescent="0.35">
      <c r="A122" t="str">
        <f t="shared" si="11"/>
        <v>-</v>
      </c>
      <c r="B122" s="92" t="str">
        <f t="shared" si="7"/>
        <v/>
      </c>
      <c r="C122" s="92" t="str">
        <f t="shared" si="8"/>
        <v/>
      </c>
      <c r="D122" s="92" t="str">
        <f t="shared" si="9"/>
        <v/>
      </c>
      <c r="E122" s="92" t="str">
        <f t="shared" si="10"/>
        <v/>
      </c>
      <c r="F122" t="str">
        <f t="shared" si="12"/>
        <v/>
      </c>
      <c r="G122" s="92" t="str">
        <f t="shared" si="13"/>
        <v/>
      </c>
    </row>
    <row r="123" spans="1:7" x14ac:dyDescent="0.35">
      <c r="A123" t="str">
        <f t="shared" si="11"/>
        <v>-</v>
      </c>
      <c r="B123" s="92" t="str">
        <f t="shared" si="7"/>
        <v/>
      </c>
      <c r="C123" s="92" t="str">
        <f t="shared" si="8"/>
        <v/>
      </c>
      <c r="D123" s="92" t="str">
        <f t="shared" si="9"/>
        <v/>
      </c>
      <c r="E123" s="92" t="str">
        <f t="shared" si="10"/>
        <v/>
      </c>
      <c r="F123" t="str">
        <f t="shared" si="12"/>
        <v/>
      </c>
      <c r="G123" s="92" t="str">
        <f t="shared" si="13"/>
        <v/>
      </c>
    </row>
    <row r="124" spans="1:7" x14ac:dyDescent="0.35">
      <c r="A124" t="str">
        <f t="shared" si="11"/>
        <v>-</v>
      </c>
      <c r="B124" s="92" t="str">
        <f t="shared" si="7"/>
        <v/>
      </c>
      <c r="C124" s="92" t="str">
        <f t="shared" si="8"/>
        <v/>
      </c>
      <c r="D124" s="92" t="str">
        <f t="shared" si="9"/>
        <v/>
      </c>
      <c r="E124" s="92" t="str">
        <f t="shared" si="10"/>
        <v/>
      </c>
      <c r="F124" t="str">
        <f t="shared" si="12"/>
        <v/>
      </c>
      <c r="G124" s="92" t="str">
        <f t="shared" si="13"/>
        <v/>
      </c>
    </row>
    <row r="125" spans="1:7" x14ac:dyDescent="0.35">
      <c r="A125" t="str">
        <f t="shared" si="11"/>
        <v>-</v>
      </c>
      <c r="B125" s="92" t="str">
        <f t="shared" si="7"/>
        <v/>
      </c>
      <c r="C125" s="92" t="str">
        <f t="shared" si="8"/>
        <v/>
      </c>
      <c r="D125" s="92" t="str">
        <f t="shared" si="9"/>
        <v/>
      </c>
      <c r="E125" s="92" t="str">
        <f t="shared" si="10"/>
        <v/>
      </c>
      <c r="F125" t="str">
        <f t="shared" si="12"/>
        <v/>
      </c>
      <c r="G125" s="92" t="str">
        <f t="shared" si="13"/>
        <v/>
      </c>
    </row>
    <row r="126" spans="1:7" x14ac:dyDescent="0.35">
      <c r="A126" t="str">
        <f t="shared" si="11"/>
        <v>-</v>
      </c>
      <c r="B126" s="92" t="str">
        <f t="shared" si="7"/>
        <v/>
      </c>
      <c r="C126" s="92" t="str">
        <f t="shared" si="8"/>
        <v/>
      </c>
      <c r="D126" s="92" t="str">
        <f t="shared" si="9"/>
        <v/>
      </c>
      <c r="E126" s="92" t="str">
        <f t="shared" si="10"/>
        <v/>
      </c>
      <c r="F126" t="str">
        <f t="shared" si="12"/>
        <v/>
      </c>
      <c r="G126" s="92" t="str">
        <f t="shared" si="13"/>
        <v/>
      </c>
    </row>
    <row r="127" spans="1:7" x14ac:dyDescent="0.35">
      <c r="A127" t="str">
        <f t="shared" si="11"/>
        <v>-</v>
      </c>
      <c r="B127" s="92" t="str">
        <f t="shared" si="7"/>
        <v/>
      </c>
      <c r="C127" s="92" t="str">
        <f t="shared" si="8"/>
        <v/>
      </c>
      <c r="D127" s="92" t="str">
        <f t="shared" si="9"/>
        <v/>
      </c>
      <c r="E127" s="92" t="str">
        <f t="shared" si="10"/>
        <v/>
      </c>
      <c r="F127" t="str">
        <f t="shared" si="12"/>
        <v/>
      </c>
      <c r="G127" s="92" t="str">
        <f t="shared" si="13"/>
        <v/>
      </c>
    </row>
    <row r="128" spans="1:7" x14ac:dyDescent="0.35">
      <c r="A128" t="str">
        <f t="shared" si="11"/>
        <v>-</v>
      </c>
      <c r="B128" s="92" t="str">
        <f t="shared" si="7"/>
        <v/>
      </c>
      <c r="C128" s="92" t="str">
        <f t="shared" si="8"/>
        <v/>
      </c>
      <c r="D128" s="92" t="str">
        <f t="shared" si="9"/>
        <v/>
      </c>
      <c r="E128" s="92" t="str">
        <f t="shared" si="10"/>
        <v/>
      </c>
      <c r="F128" t="str">
        <f t="shared" si="12"/>
        <v/>
      </c>
      <c r="G128" s="92" t="str">
        <f t="shared" si="13"/>
        <v/>
      </c>
    </row>
    <row r="129" spans="1:7" x14ac:dyDescent="0.35">
      <c r="A129" t="str">
        <f t="shared" si="11"/>
        <v>-</v>
      </c>
      <c r="B129" s="92" t="str">
        <f t="shared" si="7"/>
        <v/>
      </c>
      <c r="C129" s="92" t="str">
        <f t="shared" si="8"/>
        <v/>
      </c>
      <c r="D129" s="92" t="str">
        <f t="shared" si="9"/>
        <v/>
      </c>
      <c r="E129" s="92" t="str">
        <f t="shared" si="10"/>
        <v/>
      </c>
      <c r="F129" t="str">
        <f t="shared" si="12"/>
        <v/>
      </c>
      <c r="G129" s="92" t="str">
        <f t="shared" si="13"/>
        <v/>
      </c>
    </row>
    <row r="130" spans="1:7" x14ac:dyDescent="0.35">
      <c r="A130" t="str">
        <f t="shared" si="11"/>
        <v>-</v>
      </c>
      <c r="B130" s="92" t="str">
        <f t="shared" si="7"/>
        <v/>
      </c>
      <c r="C130" s="92" t="str">
        <f t="shared" si="8"/>
        <v/>
      </c>
      <c r="D130" s="92" t="str">
        <f t="shared" si="9"/>
        <v/>
      </c>
      <c r="E130" s="92" t="str">
        <f t="shared" si="10"/>
        <v/>
      </c>
      <c r="F130" t="str">
        <f t="shared" si="12"/>
        <v/>
      </c>
      <c r="G130" s="92" t="str">
        <f t="shared" si="13"/>
        <v/>
      </c>
    </row>
    <row r="131" spans="1:7" x14ac:dyDescent="0.35">
      <c r="A131" t="str">
        <f t="shared" si="11"/>
        <v>-</v>
      </c>
      <c r="B131" s="92" t="str">
        <f t="shared" si="7"/>
        <v/>
      </c>
      <c r="C131" s="92" t="str">
        <f t="shared" si="8"/>
        <v/>
      </c>
      <c r="D131" s="92" t="str">
        <f t="shared" si="9"/>
        <v/>
      </c>
      <c r="E131" s="92" t="str">
        <f t="shared" si="10"/>
        <v/>
      </c>
      <c r="F131" t="str">
        <f t="shared" si="12"/>
        <v/>
      </c>
      <c r="G131" s="92" t="str">
        <f t="shared" si="13"/>
        <v/>
      </c>
    </row>
    <row r="132" spans="1:7" x14ac:dyDescent="0.35">
      <c r="A132" t="str">
        <f t="shared" si="11"/>
        <v>-</v>
      </c>
      <c r="B132" s="92" t="str">
        <f t="shared" si="7"/>
        <v/>
      </c>
      <c r="C132" s="92" t="str">
        <f t="shared" si="8"/>
        <v/>
      </c>
      <c r="D132" s="92" t="str">
        <f t="shared" si="9"/>
        <v/>
      </c>
      <c r="E132" s="92" t="str">
        <f t="shared" si="10"/>
        <v/>
      </c>
      <c r="F132" t="str">
        <f t="shared" si="12"/>
        <v/>
      </c>
      <c r="G132" s="92" t="str">
        <f t="shared" si="13"/>
        <v/>
      </c>
    </row>
    <row r="133" spans="1:7" x14ac:dyDescent="0.35">
      <c r="A133" t="str">
        <f t="shared" si="11"/>
        <v>-</v>
      </c>
      <c r="B133" s="92" t="str">
        <f t="shared" si="7"/>
        <v/>
      </c>
      <c r="C133" s="92" t="str">
        <f t="shared" si="8"/>
        <v/>
      </c>
      <c r="D133" s="92" t="str">
        <f t="shared" si="9"/>
        <v/>
      </c>
      <c r="E133" s="92" t="str">
        <f t="shared" si="10"/>
        <v/>
      </c>
      <c r="F133" t="str">
        <f t="shared" si="12"/>
        <v/>
      </c>
      <c r="G133" s="92" t="str">
        <f t="shared" si="13"/>
        <v/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 rentabilité optimisé</vt:lpstr>
      <vt:lpstr>investissement réel</vt:lpstr>
      <vt:lpstr>Remboursement Mensualités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Jules Jagot</dc:creator>
  <cp:lastModifiedBy>GIZ</cp:lastModifiedBy>
  <dcterms:created xsi:type="dcterms:W3CDTF">2019-05-03T18:25:17Z</dcterms:created>
  <dcterms:modified xsi:type="dcterms:W3CDTF">2022-08-24T09:48:10Z</dcterms:modified>
</cp:coreProperties>
</file>